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C P ARTURO\EJERCICIO 2015\CUENTA PUBLICA\11-12 NOV-DIC 2015\ESTADOS FINANCIEROS DISCO ENTREGADO\INFORM. CONTABLE Y PRESUPUESTAL NOV-DIC 2015\"/>
    </mc:Choice>
  </mc:AlternateContent>
  <bookViews>
    <workbookView xWindow="7665" yWindow="405" windowWidth="7650" windowHeight="8235" tabRatio="960" activeTab="4"/>
  </bookViews>
  <sheets>
    <sheet name="INDICE" sheetId="89" r:id="rId1"/>
    <sheet name="EDO ING Y EGR" sheetId="22" r:id="rId2"/>
    <sheet name="EDO ORG Y APL" sheetId="32" r:id="rId3"/>
    <sheet name="BZA DE COMP" sheetId="80" r:id="rId4"/>
    <sheet name="NOTAS" sheetId="103" r:id="rId5"/>
    <sheet name="BANCOS" sheetId="3" r:id="rId6"/>
    <sheet name="CTAS. POR COBRAR" sheetId="60" r:id="rId7"/>
    <sheet name="B INMUEBLES" sheetId="67" r:id="rId8"/>
    <sheet name="B MUEBLES" sheetId="68" r:id="rId9"/>
    <sheet name="ACREEDORES" sheetId="65" r:id="rId10"/>
    <sheet name="GRAF-SIT FRA" sheetId="84" r:id="rId11"/>
    <sheet name="GRAF-ING Y EGR" sheetId="86" r:id="rId12"/>
    <sheet name="INGRESOS BIMESTRAL" sheetId="63" r:id="rId13"/>
    <sheet name="INGRESOS ACUMULADO" sheetId="92" r:id="rId14"/>
    <sheet name="EGRESOS BIMESTRAL" sheetId="93" r:id="rId15"/>
    <sheet name="EGRESOS ACUMULADO" sheetId="70" r:id="rId16"/>
    <sheet name="PATRIMONIO" sheetId="64" r:id="rId17"/>
    <sheet name="MOD PATRIMONIAL" sheetId="57" r:id="rId18"/>
    <sheet name="MOD EJ ANT" sheetId="98" r:id="rId19"/>
    <sheet name="ING PROPIOS" sheetId="61" r:id="rId20"/>
    <sheet name="PLANTILLA PERSONAL" sheetId="82" r:id="rId21"/>
    <sheet name="EDO PPTO ING" sheetId="59" r:id="rId22"/>
    <sheet name="EDO PPTO EG" sheetId="102" r:id="rId23"/>
  </sheets>
  <externalReferences>
    <externalReference r:id="rId24"/>
    <externalReference r:id="rId25"/>
  </externalReferences>
  <definedNames>
    <definedName name="_xlnm._FilterDatabase" localSheetId="6" hidden="1">'CTAS. POR COBRAR'!$H$16:$H$74</definedName>
    <definedName name="_xlnm._FilterDatabase" localSheetId="22" hidden="1">'EDO PPTO EG'!$E$15:$AJ$45</definedName>
    <definedName name="_xlnm.Print_Area" localSheetId="9">ACREEDORES!$A$1:$F$60</definedName>
    <definedName name="_xlnm.Print_Area" localSheetId="7">'B INMUEBLES'!$A$1:$F$57</definedName>
    <definedName name="_xlnm.Print_Area" localSheetId="8">'B MUEBLES'!$A$1:$F$56</definedName>
    <definedName name="_xlnm.Print_Area" localSheetId="5">BANCOS!$A$1:$G$57</definedName>
    <definedName name="_xlnm.Print_Area" localSheetId="3">'BZA DE COMP'!$A$1:$I$87</definedName>
    <definedName name="_xlnm.Print_Area" localSheetId="6">'CTAS. POR COBRAR'!$A$1:$F$59</definedName>
    <definedName name="_xlnm.Print_Area" localSheetId="1">'EDO ING Y EGR'!$A$1:$L$60</definedName>
    <definedName name="_xlnm.Print_Area" localSheetId="2">'EDO ORG Y APL'!$A$1:$N$65</definedName>
    <definedName name="_xlnm.Print_Area" localSheetId="22">'EDO PPTO EG'!$A$1:$AK$148</definedName>
    <definedName name="_xlnm.Print_Area" localSheetId="21">'EDO PPTO ING'!$A$1:$U$61</definedName>
    <definedName name="_xlnm.Print_Area" localSheetId="15">'EGRESOS ACUMULADO'!$A$1:$G$56</definedName>
    <definedName name="_xlnm.Print_Area" localSheetId="14">'EGRESOS BIMESTRAL'!$A$1:$G$55</definedName>
    <definedName name="_xlnm.Print_Area" localSheetId="11">'GRAF-ING Y EGR'!$A$1:$H$74</definedName>
    <definedName name="_xlnm.Print_Area" localSheetId="10">'GRAF-SIT FRA'!$A$1:$G$149</definedName>
    <definedName name="_xlnm.Print_Area" localSheetId="0">INDICE!$A$1:$C$40</definedName>
    <definedName name="_xlnm.Print_Area" localSheetId="19">'ING PROPIOS'!$A$1:$M$48</definedName>
    <definedName name="_xlnm.Print_Area" localSheetId="13">'INGRESOS ACUMULADO'!$A$1:$H$57</definedName>
    <definedName name="_xlnm.Print_Area" localSheetId="12">'INGRESOS BIMESTRAL'!$A$1:$H$53</definedName>
    <definedName name="_xlnm.Print_Area" localSheetId="18">'MOD EJ ANT'!$A$1:$U$64</definedName>
    <definedName name="_xlnm.Print_Area" localSheetId="17">'MOD PATRIMONIAL'!$A$1:$N$53</definedName>
    <definedName name="_xlnm.Print_Area" localSheetId="4">NOTAS!$A$1:$N$65</definedName>
    <definedName name="_xlnm.Print_Area" localSheetId="16">PATRIMONIO!$A$1:$F$56</definedName>
    <definedName name="_xlnm.Print_Area" localSheetId="20">'PLANTILLA PERSONAL'!$A$1:$Q$472</definedName>
    <definedName name="Print_Area" localSheetId="9">ACREEDORES!$A$1:$F$60</definedName>
    <definedName name="Print_Area" localSheetId="7">'B INMUEBLES'!$A$1:$F$56</definedName>
    <definedName name="Print_Area" localSheetId="8">'B MUEBLES'!$A$1:$F$56</definedName>
    <definedName name="Print_Area" localSheetId="5">BANCOS!$A$1:$G$57</definedName>
    <definedName name="Print_Area" localSheetId="3">'BZA DE COMP'!$A$1:$I$85</definedName>
    <definedName name="Print_Area" localSheetId="6">'CTAS. POR COBRAR'!$A$1:$F$73</definedName>
    <definedName name="Print_Area" localSheetId="1">'EDO ING Y EGR'!$A$1:$L$60</definedName>
    <definedName name="Print_Area" localSheetId="2">'EDO ORG Y APL'!$A$1:$N$65</definedName>
    <definedName name="Print_Area" localSheetId="22">'EDO PPTO EG'!$A$1:$AK$148</definedName>
    <definedName name="Print_Area" localSheetId="21">'EDO PPTO ING'!$A$1:$U$61</definedName>
    <definedName name="Print_Area" localSheetId="15">'EGRESOS ACUMULADO'!$A$1:$G$56</definedName>
    <definedName name="Print_Area" localSheetId="14">'EGRESOS BIMESTRAL'!$A$1:$G$55</definedName>
    <definedName name="Print_Area" localSheetId="11">'GRAF-ING Y EGR'!$A$1:$G$76</definedName>
    <definedName name="Print_Area" localSheetId="10">'GRAF-SIT FRA'!$A$1:$G$149</definedName>
    <definedName name="Print_Area" localSheetId="0">INDICE!$A$1:$C$45</definedName>
    <definedName name="Print_Area" localSheetId="19">'ING PROPIOS'!$A$1:$M$48</definedName>
    <definedName name="Print_Area" localSheetId="13">'INGRESOS ACUMULADO'!$A$1:$H$57</definedName>
    <definedName name="Print_Area" localSheetId="12">'INGRESOS BIMESTRAL'!$A$1:$H$53</definedName>
    <definedName name="Print_Area" localSheetId="17">'MOD PATRIMONIAL'!$A$1:$N$53</definedName>
    <definedName name="Print_Area" localSheetId="4">NOTAS!$A$1:$N$65</definedName>
    <definedName name="Print_Area" localSheetId="16">PATRIMONIO!$A$1:$F$56</definedName>
    <definedName name="Print_Area" localSheetId="20">'PLANTILLA PERSONAL'!$A$1:$Q$472</definedName>
    <definedName name="Print_Titles" localSheetId="6">'CTAS. POR COBRAR'!$2:$14</definedName>
    <definedName name="Print_Titles" localSheetId="22">'EDO PPTO EG'!$1:$13</definedName>
    <definedName name="Print_Titles" localSheetId="21">'EDO PPTO ING'!$1:$13</definedName>
    <definedName name="Print_Titles" localSheetId="17">'MOD PATRIMONIAL'!$1:$12</definedName>
    <definedName name="Print_Titles" localSheetId="20">'PLANTILLA PERSONAL'!$1:$15</definedName>
    <definedName name="_xlnm.Print_Titles" localSheetId="6">'CTAS. POR COBRAR'!$1:$14</definedName>
    <definedName name="_xlnm.Print_Titles" localSheetId="22">'EDO PPTO EG'!$1:$13</definedName>
  </definedNames>
  <calcPr calcId="152511"/>
</workbook>
</file>

<file path=xl/calcChain.xml><?xml version="1.0" encoding="utf-8"?>
<calcChain xmlns="http://schemas.openxmlformats.org/spreadsheetml/2006/main">
  <c r="E42" i="92" l="1"/>
  <c r="AJ34" i="102" l="1"/>
  <c r="AH152" i="102"/>
  <c r="Y34" i="102"/>
  <c r="AH56" i="102"/>
  <c r="AF56" i="102"/>
  <c r="AB56" i="102"/>
  <c r="Y56" i="102"/>
  <c r="AF47" i="102"/>
  <c r="AB34" i="102"/>
  <c r="AJ14" i="102" s="1"/>
  <c r="AB47" i="102"/>
  <c r="J14" i="102"/>
  <c r="L14" i="102"/>
  <c r="M14" i="102"/>
  <c r="N14" i="102"/>
  <c r="N148" i="102" s="1"/>
  <c r="O14" i="102"/>
  <c r="P14" i="102"/>
  <c r="Q14" i="102"/>
  <c r="R14" i="102"/>
  <c r="R148" i="102" s="1"/>
  <c r="S14" i="102"/>
  <c r="T14" i="102"/>
  <c r="U14" i="102"/>
  <c r="V14" i="102"/>
  <c r="V148" i="102" s="1"/>
  <c r="W14" i="102"/>
  <c r="X14" i="102"/>
  <c r="AD14" i="102"/>
  <c r="AF14" i="102"/>
  <c r="AH14" i="102"/>
  <c r="AL17" i="102" s="1"/>
  <c r="Z16" i="102"/>
  <c r="AB16" i="102"/>
  <c r="AB14" i="102" s="1"/>
  <c r="AJ16" i="102"/>
  <c r="AN16" i="102"/>
  <c r="AQ16" i="102"/>
  <c r="Y17" i="102"/>
  <c r="Z17" i="102"/>
  <c r="AJ17" i="102"/>
  <c r="AN17" i="102" s="1"/>
  <c r="AQ17" i="102"/>
  <c r="Y18" i="102"/>
  <c r="Z18" i="102"/>
  <c r="AJ18" i="102"/>
  <c r="AN18" i="102"/>
  <c r="AQ18" i="102"/>
  <c r="Y19" i="102"/>
  <c r="Z19" i="102"/>
  <c r="AJ19" i="102"/>
  <c r="AN19" i="102" s="1"/>
  <c r="AQ19" i="102"/>
  <c r="Y20" i="102"/>
  <c r="Z20" i="102"/>
  <c r="AJ20" i="102"/>
  <c r="AN20" i="102"/>
  <c r="AQ20" i="102"/>
  <c r="Y21" i="102"/>
  <c r="Z21" i="102"/>
  <c r="AJ21" i="102"/>
  <c r="AQ21" i="102"/>
  <c r="Y22" i="102"/>
  <c r="Z22" i="102"/>
  <c r="AJ22" i="102"/>
  <c r="AN22" i="102"/>
  <c r="AQ22" i="102"/>
  <c r="Y23" i="102"/>
  <c r="Z23" i="102"/>
  <c r="AJ23" i="102"/>
  <c r="AL23" i="102"/>
  <c r="AQ23" i="102"/>
  <c r="Y24" i="102"/>
  <c r="Z24" i="102"/>
  <c r="AJ24" i="102"/>
  <c r="AN24" i="102" s="1"/>
  <c r="AQ24" i="102"/>
  <c r="Y25" i="102"/>
  <c r="Z25" i="102"/>
  <c r="AJ25" i="102"/>
  <c r="AN25" i="102"/>
  <c r="AQ25" i="102"/>
  <c r="Y26" i="102"/>
  <c r="Z26" i="102"/>
  <c r="AJ26" i="102"/>
  <c r="AN26" i="102" s="1"/>
  <c r="AQ26" i="102"/>
  <c r="Y27" i="102"/>
  <c r="Z27" i="102"/>
  <c r="AJ27" i="102"/>
  <c r="AN27" i="102"/>
  <c r="AQ27" i="102"/>
  <c r="Y28" i="102"/>
  <c r="Z28" i="102"/>
  <c r="AJ28" i="102"/>
  <c r="AN28" i="102" s="1"/>
  <c r="AL28" i="102"/>
  <c r="AQ28" i="102"/>
  <c r="Y29" i="102"/>
  <c r="Z29" i="102"/>
  <c r="AJ29" i="102"/>
  <c r="AN29" i="102"/>
  <c r="AQ29" i="102"/>
  <c r="Y30" i="102"/>
  <c r="Z30" i="102"/>
  <c r="AJ30" i="102"/>
  <c r="AN30" i="102" s="1"/>
  <c r="AL30" i="102"/>
  <c r="AQ30" i="102"/>
  <c r="Y31" i="102"/>
  <c r="Z31" i="102"/>
  <c r="AJ31" i="102"/>
  <c r="AQ31" i="102"/>
  <c r="Y32" i="102"/>
  <c r="Z32" i="102"/>
  <c r="AJ32" i="102"/>
  <c r="Y33" i="102"/>
  <c r="Z33" i="102"/>
  <c r="AJ33" i="102"/>
  <c r="AQ33" i="102"/>
  <c r="Z34" i="102"/>
  <c r="AQ34" i="102"/>
  <c r="Y35" i="102"/>
  <c r="Z35" i="102"/>
  <c r="AJ35" i="102"/>
  <c r="AQ35" i="102"/>
  <c r="Y36" i="102"/>
  <c r="Z36" i="102"/>
  <c r="AJ36" i="102"/>
  <c r="Y37" i="102"/>
  <c r="Z37" i="102"/>
  <c r="AJ37" i="102"/>
  <c r="Y38" i="102"/>
  <c r="Z38" i="102"/>
  <c r="AJ38" i="102"/>
  <c r="Y39" i="102"/>
  <c r="Z39" i="102"/>
  <c r="AJ39" i="102"/>
  <c r="Y40" i="102"/>
  <c r="Z40" i="102"/>
  <c r="AJ40" i="102"/>
  <c r="Y41" i="102"/>
  <c r="Z41" i="102"/>
  <c r="AJ41" i="102"/>
  <c r="Y42" i="102"/>
  <c r="Z42" i="102"/>
  <c r="AJ42" i="102"/>
  <c r="Y43" i="102"/>
  <c r="Z43" i="102"/>
  <c r="AJ43" i="102"/>
  <c r="Y44" i="102"/>
  <c r="Z44" i="102"/>
  <c r="AJ44" i="102"/>
  <c r="Y45" i="102"/>
  <c r="Z45" i="102"/>
  <c r="AJ45" i="102"/>
  <c r="AN45" i="102"/>
  <c r="AQ45" i="102"/>
  <c r="AN46" i="102"/>
  <c r="AQ46" i="102"/>
  <c r="J47" i="102"/>
  <c r="L47" i="102"/>
  <c r="M47" i="102"/>
  <c r="N47" i="102"/>
  <c r="O47" i="102"/>
  <c r="P47" i="102"/>
  <c r="Q47" i="102"/>
  <c r="R47" i="102"/>
  <c r="S47" i="102"/>
  <c r="T47" i="102"/>
  <c r="U47" i="102"/>
  <c r="V47" i="102"/>
  <c r="W47" i="102"/>
  <c r="X47" i="102"/>
  <c r="AD47" i="102"/>
  <c r="AH47" i="102"/>
  <c r="AT47" i="102" s="1"/>
  <c r="AM47" i="102"/>
  <c r="Y49" i="102"/>
  <c r="Y47" i="102" s="1"/>
  <c r="Z49" i="102"/>
  <c r="AJ49" i="102"/>
  <c r="AL49" i="102"/>
  <c r="AQ49" i="102"/>
  <c r="AU49" i="102"/>
  <c r="AT49" i="102" s="1"/>
  <c r="Y50" i="102"/>
  <c r="Z50" i="102"/>
  <c r="AJ50" i="102"/>
  <c r="AU50" i="102"/>
  <c r="AT50" i="102" s="1"/>
  <c r="Y51" i="102"/>
  <c r="Z51" i="102"/>
  <c r="AJ51" i="102"/>
  <c r="AL51" i="102"/>
  <c r="AQ51" i="102"/>
  <c r="AU51" i="102"/>
  <c r="AT51" i="102" s="1"/>
  <c r="Y52" i="102"/>
  <c r="Z52" i="102"/>
  <c r="AJ52" i="102"/>
  <c r="AL52" i="102"/>
  <c r="AQ52" i="102"/>
  <c r="AT52" i="102"/>
  <c r="AU52" i="102"/>
  <c r="Y53" i="102"/>
  <c r="Z53" i="102"/>
  <c r="AJ53" i="102"/>
  <c r="AL53" i="102"/>
  <c r="AQ53" i="102"/>
  <c r="AU53" i="102"/>
  <c r="AT53" i="102" s="1"/>
  <c r="Y54" i="102"/>
  <c r="Z54" i="102"/>
  <c r="AJ54" i="102"/>
  <c r="AL54" i="102"/>
  <c r="AQ54" i="102"/>
  <c r="AU54" i="102"/>
  <c r="AT54" i="102" s="1"/>
  <c r="Y55" i="102"/>
  <c r="Z55" i="102"/>
  <c r="AJ55" i="102"/>
  <c r="AL55" i="102"/>
  <c r="AQ55" i="102"/>
  <c r="AU55" i="102"/>
  <c r="AT55" i="102" s="1"/>
  <c r="AJ56" i="102"/>
  <c r="AL56" i="102"/>
  <c r="AQ56" i="102"/>
  <c r="AT56" i="102"/>
  <c r="AU56" i="102"/>
  <c r="Y57" i="102"/>
  <c r="Z57" i="102"/>
  <c r="AJ57" i="102"/>
  <c r="AL57" i="102"/>
  <c r="AQ57" i="102"/>
  <c r="AU57" i="102"/>
  <c r="AT57" i="102" s="1"/>
  <c r="Y58" i="102"/>
  <c r="Z58" i="102"/>
  <c r="AJ58" i="102"/>
  <c r="AT58" i="102"/>
  <c r="AU58" i="102"/>
  <c r="Y59" i="102"/>
  <c r="Z59" i="102"/>
  <c r="AJ59" i="102"/>
  <c r="Y60" i="102"/>
  <c r="Z60" i="102"/>
  <c r="AJ60" i="102"/>
  <c r="AL60" i="102"/>
  <c r="AQ60" i="102"/>
  <c r="AU60" i="102"/>
  <c r="AT60" i="102" s="1"/>
  <c r="Y61" i="102"/>
  <c r="Z61" i="102"/>
  <c r="AJ61" i="102"/>
  <c r="Y62" i="102"/>
  <c r="Z62" i="102"/>
  <c r="AJ62" i="102"/>
  <c r="AQ62" i="102"/>
  <c r="AU62" i="102"/>
  <c r="AT62" i="102" s="1"/>
  <c r="Y63" i="102"/>
  <c r="Z63" i="102"/>
  <c r="AJ63" i="102"/>
  <c r="AL63" i="102"/>
  <c r="AQ63" i="102"/>
  <c r="AU63" i="102"/>
  <c r="AT63" i="102" s="1"/>
  <c r="Y64" i="102"/>
  <c r="Z64" i="102"/>
  <c r="AJ64" i="102"/>
  <c r="AL64" i="102"/>
  <c r="AQ64" i="102"/>
  <c r="AU64" i="102"/>
  <c r="AT64" i="102" s="1"/>
  <c r="Y65" i="102"/>
  <c r="Z65" i="102"/>
  <c r="AJ65" i="102"/>
  <c r="AU65" i="102"/>
  <c r="AT65" i="102" s="1"/>
  <c r="Y66" i="102"/>
  <c r="Z66" i="102"/>
  <c r="AJ66" i="102"/>
  <c r="Y67" i="102"/>
  <c r="Z67" i="102"/>
  <c r="AJ67" i="102"/>
  <c r="AL67" i="102"/>
  <c r="AQ67" i="102"/>
  <c r="AT67" i="102"/>
  <c r="AU67" i="102"/>
  <c r="Y68" i="102"/>
  <c r="Z68" i="102"/>
  <c r="AJ68" i="102"/>
  <c r="Y69" i="102"/>
  <c r="Z69" i="102"/>
  <c r="AJ69" i="102"/>
  <c r="AL69" i="102"/>
  <c r="AQ69" i="102"/>
  <c r="AU69" i="102"/>
  <c r="AT69" i="102" s="1"/>
  <c r="Y70" i="102"/>
  <c r="Z70" i="102"/>
  <c r="AJ70" i="102"/>
  <c r="AL70" i="102"/>
  <c r="AQ70" i="102"/>
  <c r="AU70" i="102"/>
  <c r="AT70" i="102" s="1"/>
  <c r="Y71" i="102"/>
  <c r="Z71" i="102"/>
  <c r="AJ71" i="102"/>
  <c r="AL71" i="102"/>
  <c r="AQ71" i="102"/>
  <c r="AT71" i="102"/>
  <c r="AU71" i="102"/>
  <c r="Y72" i="102"/>
  <c r="Z72" i="102"/>
  <c r="AJ72" i="102"/>
  <c r="AL72" i="102"/>
  <c r="AQ72" i="102"/>
  <c r="AU72" i="102"/>
  <c r="AT72" i="102" s="1"/>
  <c r="Y73" i="102"/>
  <c r="Z73" i="102"/>
  <c r="AJ73" i="102"/>
  <c r="AL73" i="102"/>
  <c r="AQ73" i="102"/>
  <c r="AU73" i="102"/>
  <c r="AT73" i="102" s="1"/>
  <c r="Y74" i="102"/>
  <c r="Z74" i="102"/>
  <c r="AJ74" i="102"/>
  <c r="AL74" i="102"/>
  <c r="AQ74" i="102"/>
  <c r="AU74" i="102"/>
  <c r="AT74" i="102" s="1"/>
  <c r="Y75" i="102"/>
  <c r="Z75" i="102"/>
  <c r="AJ75" i="102"/>
  <c r="AL75" i="102"/>
  <c r="AQ75" i="102"/>
  <c r="AT75" i="102"/>
  <c r="AU75" i="102"/>
  <c r="Y76" i="102"/>
  <c r="Z76" i="102"/>
  <c r="AJ76" i="102"/>
  <c r="AU76" i="102"/>
  <c r="AT76" i="102" s="1"/>
  <c r="Y77" i="102"/>
  <c r="Z77" i="102"/>
  <c r="AJ77" i="102"/>
  <c r="AL77" i="102"/>
  <c r="AQ77" i="102"/>
  <c r="AT77" i="102"/>
  <c r="AU77" i="102"/>
  <c r="Y78" i="102"/>
  <c r="Z78" i="102"/>
  <c r="AJ78" i="102"/>
  <c r="AL78" i="102"/>
  <c r="AQ78" i="102"/>
  <c r="AU78" i="102"/>
  <c r="AT78" i="102" s="1"/>
  <c r="Y79" i="102"/>
  <c r="Z79" i="102"/>
  <c r="AJ79" i="102"/>
  <c r="AQ79" i="102"/>
  <c r="AU79" i="102"/>
  <c r="AT79" i="102" s="1"/>
  <c r="Y80" i="102"/>
  <c r="Z80" i="102"/>
  <c r="AJ80" i="102"/>
  <c r="AL80" i="102"/>
  <c r="AQ80" i="102"/>
  <c r="AT80" i="102"/>
  <c r="AU80" i="102"/>
  <c r="Y81" i="102"/>
  <c r="Z81" i="102"/>
  <c r="AJ81" i="102"/>
  <c r="AL81" i="102"/>
  <c r="AQ81" i="102"/>
  <c r="AU81" i="102"/>
  <c r="AT81" i="102" s="1"/>
  <c r="Y82" i="102"/>
  <c r="Z82" i="102"/>
  <c r="AJ82" i="102"/>
  <c r="Y83" i="102"/>
  <c r="Z83" i="102"/>
  <c r="AJ83" i="102"/>
  <c r="J85" i="102"/>
  <c r="L85" i="102"/>
  <c r="L148" i="102" s="1"/>
  <c r="M85" i="102"/>
  <c r="N85" i="102"/>
  <c r="O85" i="102"/>
  <c r="P85" i="102"/>
  <c r="P148" i="102" s="1"/>
  <c r="Q85" i="102"/>
  <c r="R85" i="102"/>
  <c r="S85" i="102"/>
  <c r="T85" i="102"/>
  <c r="T148" i="102" s="1"/>
  <c r="U85" i="102"/>
  <c r="V85" i="102"/>
  <c r="W85" i="102"/>
  <c r="X85" i="102"/>
  <c r="X148" i="102" s="1"/>
  <c r="AB85" i="102"/>
  <c r="AD85" i="102"/>
  <c r="AD148" i="102" s="1"/>
  <c r="AF85" i="102"/>
  <c r="AH85" i="102"/>
  <c r="AT85" i="102"/>
  <c r="Y87" i="102"/>
  <c r="Y85" i="102" s="1"/>
  <c r="Z87" i="102"/>
  <c r="Z85" i="102" s="1"/>
  <c r="AJ87" i="102"/>
  <c r="AJ85" i="102" s="1"/>
  <c r="AL87" i="102"/>
  <c r="AQ87" i="102"/>
  <c r="AT87" i="102"/>
  <c r="AU87" i="102"/>
  <c r="Y88" i="102"/>
  <c r="Z88" i="102"/>
  <c r="AJ88" i="102"/>
  <c r="AL88" i="102"/>
  <c r="AQ88" i="102"/>
  <c r="AU88" i="102"/>
  <c r="AT88" i="102" s="1"/>
  <c r="Y89" i="102"/>
  <c r="Z89" i="102"/>
  <c r="AJ89" i="102"/>
  <c r="AL89" i="102"/>
  <c r="AQ89" i="102"/>
  <c r="AT89" i="102"/>
  <c r="AU89" i="102"/>
  <c r="Y90" i="102"/>
  <c r="Z90" i="102"/>
  <c r="AJ90" i="102"/>
  <c r="AL90" i="102"/>
  <c r="AQ90" i="102"/>
  <c r="AU90" i="102"/>
  <c r="AT90" i="102" s="1"/>
  <c r="Y91" i="102"/>
  <c r="Z91" i="102"/>
  <c r="AJ91" i="102"/>
  <c r="AL91" i="102"/>
  <c r="AQ91" i="102"/>
  <c r="AT91" i="102"/>
  <c r="AU91" i="102"/>
  <c r="Y92" i="102"/>
  <c r="Z92" i="102"/>
  <c r="AJ92" i="102"/>
  <c r="AL92" i="102"/>
  <c r="AQ92" i="102"/>
  <c r="AU92" i="102"/>
  <c r="AT92" i="102" s="1"/>
  <c r="Y93" i="102"/>
  <c r="Z93" i="102"/>
  <c r="AJ93" i="102"/>
  <c r="AL93" i="102"/>
  <c r="AQ93" i="102"/>
  <c r="AT93" i="102"/>
  <c r="AU93" i="102"/>
  <c r="Y94" i="102"/>
  <c r="Z94" i="102"/>
  <c r="AJ94" i="102"/>
  <c r="AL94" i="102"/>
  <c r="AQ94" i="102"/>
  <c r="AU94" i="102"/>
  <c r="AT94" i="102" s="1"/>
  <c r="Y95" i="102"/>
  <c r="Z95" i="102"/>
  <c r="AJ95" i="102"/>
  <c r="AL95" i="102"/>
  <c r="AQ95" i="102"/>
  <c r="AT95" i="102"/>
  <c r="AU95" i="102"/>
  <c r="Y96" i="102"/>
  <c r="Z96" i="102"/>
  <c r="AJ96" i="102"/>
  <c r="AL96" i="102"/>
  <c r="AQ96" i="102"/>
  <c r="AU96" i="102"/>
  <c r="AT96" i="102" s="1"/>
  <c r="Y97" i="102"/>
  <c r="Z97" i="102"/>
  <c r="AJ97" i="102"/>
  <c r="Y98" i="102"/>
  <c r="Z98" i="102"/>
  <c r="AJ98" i="102"/>
  <c r="AQ98" i="102"/>
  <c r="AT98" i="102"/>
  <c r="AU98" i="102"/>
  <c r="Y99" i="102"/>
  <c r="Z99" i="102"/>
  <c r="AJ99" i="102"/>
  <c r="AL99" i="102"/>
  <c r="AQ99" i="102"/>
  <c r="AU99" i="102"/>
  <c r="AT99" i="102" s="1"/>
  <c r="Y100" i="102"/>
  <c r="Z100" i="102"/>
  <c r="AJ100" i="102"/>
  <c r="AL100" i="102"/>
  <c r="AQ100" i="102"/>
  <c r="AT100" i="102"/>
  <c r="AU100" i="102"/>
  <c r="Y101" i="102"/>
  <c r="Z101" i="102"/>
  <c r="AJ101" i="102"/>
  <c r="AU101" i="102"/>
  <c r="AT101" i="102" s="1"/>
  <c r="Y102" i="102"/>
  <c r="Z102" i="102"/>
  <c r="AJ102" i="102"/>
  <c r="Y103" i="102"/>
  <c r="Z103" i="102"/>
  <c r="AJ103" i="102"/>
  <c r="AQ103" i="102"/>
  <c r="AU103" i="102"/>
  <c r="AT103" i="102" s="1"/>
  <c r="Y104" i="102"/>
  <c r="Z104" i="102"/>
  <c r="AJ104" i="102"/>
  <c r="AL104" i="102"/>
  <c r="AQ104" i="102"/>
  <c r="AU104" i="102"/>
  <c r="AT104" i="102" s="1"/>
  <c r="Y105" i="102"/>
  <c r="Z105" i="102"/>
  <c r="AJ105" i="102"/>
  <c r="AL105" i="102"/>
  <c r="AQ105" i="102"/>
  <c r="AT105" i="102"/>
  <c r="AU105" i="102"/>
  <c r="Y106" i="102"/>
  <c r="Z106" i="102"/>
  <c r="AJ106" i="102"/>
  <c r="AL106" i="102"/>
  <c r="AQ106" i="102"/>
  <c r="AU106" i="102"/>
  <c r="AT106" i="102" s="1"/>
  <c r="Y107" i="102"/>
  <c r="Z107" i="102"/>
  <c r="AJ107" i="102"/>
  <c r="AL107" i="102"/>
  <c r="AQ107" i="102"/>
  <c r="AU107" i="102"/>
  <c r="AT107" i="102" s="1"/>
  <c r="Y108" i="102"/>
  <c r="Z108" i="102"/>
  <c r="AJ108" i="102"/>
  <c r="AL108" i="102"/>
  <c r="AQ108" i="102"/>
  <c r="AU108" i="102"/>
  <c r="AT108" i="102" s="1"/>
  <c r="Y109" i="102"/>
  <c r="Z109" i="102"/>
  <c r="AJ109" i="102"/>
  <c r="AL109" i="102"/>
  <c r="AQ109" i="102"/>
  <c r="AT109" i="102"/>
  <c r="AU109" i="102"/>
  <c r="Y110" i="102"/>
  <c r="Z110" i="102"/>
  <c r="AJ110" i="102"/>
  <c r="AL110" i="102"/>
  <c r="AQ110" i="102"/>
  <c r="AU110" i="102"/>
  <c r="AT110" i="102" s="1"/>
  <c r="Y111" i="102"/>
  <c r="Z111" i="102"/>
  <c r="AJ111" i="102"/>
  <c r="AL111" i="102"/>
  <c r="AQ111" i="102"/>
  <c r="AU111" i="102"/>
  <c r="AT111" i="102" s="1"/>
  <c r="Y112" i="102"/>
  <c r="Z112" i="102"/>
  <c r="AJ112" i="102"/>
  <c r="AL112" i="102"/>
  <c r="AQ112" i="102"/>
  <c r="AU112" i="102"/>
  <c r="AT112" i="102" s="1"/>
  <c r="Y113" i="102"/>
  <c r="Z113" i="102"/>
  <c r="AJ113" i="102"/>
  <c r="AL113" i="102"/>
  <c r="AQ113" i="102"/>
  <c r="AT113" i="102"/>
  <c r="AU113" i="102"/>
  <c r="Y114" i="102"/>
  <c r="Z114" i="102"/>
  <c r="AJ114" i="102"/>
  <c r="Y115" i="102"/>
  <c r="Z115" i="102"/>
  <c r="AJ115" i="102"/>
  <c r="AL115" i="102"/>
  <c r="AQ115" i="102"/>
  <c r="AU115" i="102"/>
  <c r="AT115" i="102" s="1"/>
  <c r="Y116" i="102"/>
  <c r="Z116" i="102"/>
  <c r="AJ116" i="102"/>
  <c r="AL116" i="102"/>
  <c r="AQ116" i="102"/>
  <c r="AU116" i="102"/>
  <c r="AT116" i="102" s="1"/>
  <c r="Y117" i="102"/>
  <c r="Z117" i="102"/>
  <c r="AJ117" i="102"/>
  <c r="AL117" i="102"/>
  <c r="AQ117" i="102"/>
  <c r="AT117" i="102"/>
  <c r="AU117" i="102"/>
  <c r="Y118" i="102"/>
  <c r="Z118" i="102"/>
  <c r="AJ118" i="102"/>
  <c r="AL118" i="102"/>
  <c r="AQ118" i="102"/>
  <c r="AU118" i="102"/>
  <c r="AT118" i="102" s="1"/>
  <c r="Y119" i="102"/>
  <c r="Z119" i="102"/>
  <c r="AJ119" i="102"/>
  <c r="AL119" i="102"/>
  <c r="AQ119" i="102"/>
  <c r="AT119" i="102"/>
  <c r="AU119" i="102"/>
  <c r="Y120" i="102"/>
  <c r="Z120" i="102"/>
  <c r="AJ120" i="102"/>
  <c r="AL120" i="102"/>
  <c r="AQ120" i="102"/>
  <c r="AU120" i="102"/>
  <c r="AT120" i="102" s="1"/>
  <c r="Y121" i="102"/>
  <c r="Z121" i="102"/>
  <c r="AJ121" i="102"/>
  <c r="Y122" i="102"/>
  <c r="Z122" i="102"/>
  <c r="AJ122" i="102"/>
  <c r="AL122" i="102"/>
  <c r="AQ122" i="102"/>
  <c r="AU122" i="102"/>
  <c r="AT122" i="102" s="1"/>
  <c r="Y123" i="102"/>
  <c r="Z123" i="102"/>
  <c r="AJ123" i="102"/>
  <c r="J125" i="102"/>
  <c r="J148" i="102" s="1"/>
  <c r="L125" i="102"/>
  <c r="M125" i="102"/>
  <c r="N125" i="102"/>
  <c r="O125" i="102"/>
  <c r="O148" i="102" s="1"/>
  <c r="P125" i="102"/>
  <c r="Q125" i="102"/>
  <c r="R125" i="102"/>
  <c r="S125" i="102"/>
  <c r="S148" i="102" s="1"/>
  <c r="T125" i="102"/>
  <c r="U125" i="102"/>
  <c r="V125" i="102"/>
  <c r="W125" i="102"/>
  <c r="W148" i="102" s="1"/>
  <c r="X125" i="102"/>
  <c r="AB125" i="102"/>
  <c r="AD125" i="102"/>
  <c r="AE125" i="102"/>
  <c r="AF125" i="102"/>
  <c r="AH125" i="102"/>
  <c r="AT125" i="102" s="1"/>
  <c r="Y127" i="102"/>
  <c r="Y125" i="102" s="1"/>
  <c r="Z127" i="102"/>
  <c r="Z125" i="102" s="1"/>
  <c r="AJ127" i="102"/>
  <c r="AJ125" i="102" s="1"/>
  <c r="AL127" i="102"/>
  <c r="AQ127" i="102"/>
  <c r="Y128" i="102"/>
  <c r="Z128" i="102"/>
  <c r="AJ128" i="102"/>
  <c r="Y129" i="102"/>
  <c r="Z129" i="102"/>
  <c r="AJ129" i="102"/>
  <c r="AL129" i="102"/>
  <c r="AQ129" i="102"/>
  <c r="AU130" i="102"/>
  <c r="J131" i="102"/>
  <c r="L131" i="102"/>
  <c r="M131" i="102"/>
  <c r="N131" i="102"/>
  <c r="O131" i="102"/>
  <c r="P131" i="102"/>
  <c r="Q131" i="102"/>
  <c r="R131" i="102"/>
  <c r="S131" i="102"/>
  <c r="T131" i="102"/>
  <c r="U131" i="102"/>
  <c r="V131" i="102"/>
  <c r="W131" i="102"/>
  <c r="X131" i="102"/>
  <c r="AB131" i="102"/>
  <c r="AD131" i="102"/>
  <c r="AF131" i="102"/>
  <c r="AH131" i="102"/>
  <c r="AS131" i="102"/>
  <c r="AU131" i="102"/>
  <c r="Y133" i="102"/>
  <c r="Y131" i="102" s="1"/>
  <c r="Z133" i="102"/>
  <c r="AJ133" i="102"/>
  <c r="AJ131" i="102" s="1"/>
  <c r="Y134" i="102"/>
  <c r="Z134" i="102"/>
  <c r="Z131" i="102" s="1"/>
  <c r="AJ134" i="102"/>
  <c r="Y135" i="102"/>
  <c r="Z135" i="102"/>
  <c r="AJ135" i="102"/>
  <c r="Y136" i="102"/>
  <c r="Z136" i="102"/>
  <c r="AJ136" i="102"/>
  <c r="Y137" i="102"/>
  <c r="Z137" i="102"/>
  <c r="AJ137" i="102"/>
  <c r="Y138" i="102"/>
  <c r="Z138" i="102"/>
  <c r="AJ138" i="102"/>
  <c r="Y139" i="102"/>
  <c r="Z139" i="102"/>
  <c r="AJ139" i="102"/>
  <c r="Y140" i="102"/>
  <c r="Z140" i="102"/>
  <c r="AJ140" i="102"/>
  <c r="Y141" i="102"/>
  <c r="Z141" i="102"/>
  <c r="AJ141" i="102"/>
  <c r="Y142" i="102"/>
  <c r="Z142" i="102"/>
  <c r="AJ142" i="102"/>
  <c r="Y143" i="102"/>
  <c r="Z143" i="102"/>
  <c r="AJ143" i="102"/>
  <c r="J145" i="102"/>
  <c r="L145" i="102"/>
  <c r="M145" i="102"/>
  <c r="N145" i="102"/>
  <c r="O145" i="102"/>
  <c r="P145" i="102"/>
  <c r="Q145" i="102"/>
  <c r="R145" i="102"/>
  <c r="S145" i="102"/>
  <c r="T145" i="102"/>
  <c r="U145" i="102"/>
  <c r="V145" i="102"/>
  <c r="W145" i="102"/>
  <c r="X145" i="102"/>
  <c r="Y145" i="102"/>
  <c r="Z145" i="102"/>
  <c r="AB145" i="102"/>
  <c r="AD145" i="102"/>
  <c r="AF145" i="102"/>
  <c r="AH145" i="102"/>
  <c r="AJ145" i="102"/>
  <c r="M148" i="102"/>
  <c r="Q148" i="102"/>
  <c r="U148" i="102"/>
  <c r="AF148" i="102"/>
  <c r="AF150" i="102" s="1"/>
  <c r="AF152" i="102" s="1"/>
  <c r="Z47" i="102" l="1"/>
  <c r="Z14" i="102"/>
  <c r="AJ47" i="102"/>
  <c r="AJ148" i="102" s="1"/>
  <c r="AB148" i="102"/>
  <c r="AL14" i="102"/>
  <c r="AL45" i="102"/>
  <c r="AL35" i="102"/>
  <c r="AL25" i="102"/>
  <c r="AL20" i="102"/>
  <c r="AL18" i="102"/>
  <c r="AL16" i="102"/>
  <c r="Y16" i="102"/>
  <c r="Y14" i="102" s="1"/>
  <c r="Y148" i="102" s="1"/>
  <c r="AL46" i="102"/>
  <c r="AL34" i="102"/>
  <c r="AL31" i="102"/>
  <c r="AL29" i="102"/>
  <c r="AL22" i="102"/>
  <c r="AH148" i="102"/>
  <c r="AH150" i="102" s="1"/>
  <c r="AL26" i="102"/>
  <c r="AL24" i="102"/>
  <c r="AL21" i="102"/>
  <c r="AL19" i="102"/>
  <c r="Z148" i="102" l="1"/>
  <c r="F67" i="80" l="1"/>
  <c r="E25" i="80" l="1"/>
  <c r="F40" i="80"/>
  <c r="E75" i="80"/>
  <c r="H19" i="80" l="1"/>
  <c r="E19" i="65" l="1"/>
  <c r="E43" i="80"/>
  <c r="I33" i="59" l="1"/>
  <c r="I22" i="59"/>
  <c r="I17" i="59"/>
  <c r="N24" i="59"/>
  <c r="N17" i="59"/>
  <c r="D38" i="70" l="1"/>
  <c r="D37" i="70"/>
  <c r="D35" i="70"/>
  <c r="D29" i="70"/>
  <c r="D39" i="93"/>
  <c r="E39" i="92"/>
  <c r="E33" i="92"/>
  <c r="E18" i="92"/>
  <c r="E17" i="68" l="1"/>
  <c r="E21" i="68"/>
  <c r="E27" i="68"/>
  <c r="E23" i="68"/>
  <c r="E19" i="68"/>
  <c r="L37" i="32"/>
  <c r="L41" i="32"/>
  <c r="F64" i="80"/>
  <c r="F63" i="80"/>
  <c r="F43" i="80"/>
  <c r="T13" i="98" l="1"/>
  <c r="G45" i="92"/>
  <c r="G27" i="63"/>
  <c r="G45" i="63"/>
  <c r="E25" i="68" l="1"/>
  <c r="D39" i="70" l="1"/>
  <c r="D27" i="70"/>
  <c r="D25" i="70"/>
  <c r="E31" i="92" l="1"/>
  <c r="E29" i="92"/>
  <c r="G28" i="92" s="1"/>
  <c r="K143" i="84"/>
  <c r="F57" i="3"/>
  <c r="T66" i="98" l="1"/>
  <c r="R64" i="98"/>
  <c r="Q64" i="98"/>
  <c r="P64" i="98"/>
  <c r="O64" i="98"/>
  <c r="N64" i="98"/>
  <c r="M64" i="98"/>
  <c r="L64" i="98"/>
  <c r="K64" i="98"/>
  <c r="J64" i="98"/>
  <c r="I64" i="98"/>
  <c r="H64" i="98"/>
  <c r="G64" i="98"/>
  <c r="T18" i="98"/>
  <c r="T17" i="98"/>
  <c r="T16" i="98"/>
  <c r="T15" i="98"/>
  <c r="T14" i="98"/>
  <c r="T64" i="98" l="1"/>
  <c r="Z23" i="59" l="1"/>
  <c r="W23" i="59"/>
  <c r="D36" i="70"/>
  <c r="E25" i="92"/>
  <c r="L68" i="86" l="1"/>
  <c r="J33" i="86"/>
  <c r="L16" i="61" l="1"/>
  <c r="J16" i="61"/>
  <c r="I16" i="61"/>
  <c r="H16" i="61"/>
  <c r="G16" i="61"/>
  <c r="E16" i="61"/>
  <c r="F16" i="61"/>
  <c r="M29" i="57"/>
  <c r="F53" i="32" l="1"/>
  <c r="G24" i="59" l="1"/>
  <c r="M71" i="86" l="1"/>
  <c r="K68" i="86"/>
  <c r="I17" i="65"/>
  <c r="D27" i="57" l="1"/>
  <c r="E17" i="67" l="1"/>
  <c r="L62" i="59" l="1"/>
  <c r="G20" i="59" l="1"/>
  <c r="K102" i="84" l="1"/>
  <c r="I39" i="32"/>
  <c r="K67" i="84" l="1"/>
  <c r="E55" i="60" l="1"/>
  <c r="E59" i="60" s="1"/>
  <c r="H29" i="22" l="1"/>
  <c r="L40" i="32" l="1"/>
  <c r="I40" i="32"/>
  <c r="I38" i="32"/>
  <c r="I37" i="32"/>
  <c r="N33" i="59" l="1"/>
  <c r="N31" i="59"/>
  <c r="I53" i="84" l="1"/>
  <c r="I52" i="84"/>
  <c r="I49" i="84"/>
  <c r="I50" i="84"/>
  <c r="I51" i="84"/>
  <c r="I54" i="84"/>
  <c r="I55" i="84"/>
  <c r="C36" i="32" l="1"/>
  <c r="I53" i="57" l="1"/>
  <c r="K26" i="86" l="1"/>
  <c r="E60" i="65" l="1"/>
  <c r="I69" i="86" l="1"/>
  <c r="I67" i="86"/>
  <c r="I68" i="86" s="1"/>
  <c r="H42" i="80" l="1"/>
  <c r="L38" i="32" s="1"/>
  <c r="H43" i="80"/>
  <c r="L39" i="32" s="1"/>
  <c r="H40" i="80"/>
  <c r="H41" i="80"/>
  <c r="L36" i="32" l="1"/>
  <c r="A7" i="57"/>
  <c r="A7" i="61" s="1"/>
  <c r="F45" i="93" l="1"/>
  <c r="F43" i="93"/>
  <c r="F23" i="93"/>
  <c r="F21" i="93"/>
  <c r="F19" i="93"/>
  <c r="F17" i="93"/>
  <c r="G48" i="92"/>
  <c r="F55" i="93" l="1"/>
  <c r="H17" i="80" l="1"/>
  <c r="M53" i="32" s="1"/>
  <c r="F69" i="80" l="1"/>
  <c r="G19" i="61" l="1"/>
  <c r="H53" i="80" l="1"/>
  <c r="H54" i="80"/>
  <c r="H55" i="80"/>
  <c r="G49" i="63" l="1"/>
  <c r="F19" i="61" l="1"/>
  <c r="I48" i="84" l="1"/>
  <c r="I15" i="86" l="1"/>
  <c r="I11" i="86"/>
  <c r="I12" i="86"/>
  <c r="I13" i="86"/>
  <c r="I14" i="86"/>
  <c r="I10" i="86"/>
  <c r="H19" i="61" l="1"/>
  <c r="M17" i="57" l="1"/>
  <c r="F48" i="61" l="1"/>
  <c r="I126" i="84" l="1"/>
  <c r="I125" i="84"/>
  <c r="I124" i="84"/>
  <c r="I88" i="84"/>
  <c r="I89" i="84"/>
  <c r="I90" i="84"/>
  <c r="I87" i="84"/>
  <c r="I19" i="61" l="1"/>
  <c r="J19" i="61"/>
  <c r="E19" i="61"/>
  <c r="L29" i="61" l="1"/>
  <c r="L28" i="61"/>
  <c r="L27" i="61"/>
  <c r="N20" i="59" l="1"/>
  <c r="E56" i="68" l="1"/>
  <c r="E48" i="61" l="1"/>
  <c r="J27" i="59" l="1"/>
  <c r="J20" i="59"/>
  <c r="J15" i="59"/>
  <c r="I15" i="59"/>
  <c r="M13" i="57"/>
  <c r="H28" i="22" l="1"/>
  <c r="H27" i="22"/>
  <c r="L33" i="59" l="1"/>
  <c r="L31" i="59"/>
  <c r="G48" i="61" l="1"/>
  <c r="M472" i="82" l="1"/>
  <c r="K472" i="82"/>
  <c r="F472" i="82"/>
  <c r="L437" i="82"/>
  <c r="S437" i="82" s="1"/>
  <c r="L436" i="82"/>
  <c r="S436" i="82" s="1"/>
  <c r="L435" i="82"/>
  <c r="S435" i="82" s="1"/>
  <c r="L434" i="82"/>
  <c r="S434" i="82" s="1"/>
  <c r="L433" i="82"/>
  <c r="S433" i="82" s="1"/>
  <c r="L432" i="82"/>
  <c r="S432" i="82" s="1"/>
  <c r="L431" i="82"/>
  <c r="S431" i="82" s="1"/>
  <c r="L430" i="82"/>
  <c r="S430" i="82" s="1"/>
  <c r="L429" i="82"/>
  <c r="S429" i="82" s="1"/>
  <c r="L428" i="82"/>
  <c r="S428" i="82" s="1"/>
  <c r="L427" i="82"/>
  <c r="S427" i="82" s="1"/>
  <c r="L426" i="82"/>
  <c r="S426" i="82" s="1"/>
  <c r="L425" i="82"/>
  <c r="S425" i="82" s="1"/>
  <c r="L424" i="82"/>
  <c r="S424" i="82" s="1"/>
  <c r="L423" i="82"/>
  <c r="S423" i="82" s="1"/>
  <c r="L422" i="82"/>
  <c r="S422" i="82" s="1"/>
  <c r="L421" i="82"/>
  <c r="S421" i="82" s="1"/>
  <c r="L420" i="82"/>
  <c r="S420" i="82" s="1"/>
  <c r="L419" i="82"/>
  <c r="S419" i="82" s="1"/>
  <c r="L418" i="82"/>
  <c r="S418" i="82" s="1"/>
  <c r="L417" i="82"/>
  <c r="S417" i="82" s="1"/>
  <c r="L416" i="82"/>
  <c r="S416" i="82" s="1"/>
  <c r="L415" i="82"/>
  <c r="S415" i="82" s="1"/>
  <c r="L414" i="82"/>
  <c r="S414" i="82" s="1"/>
  <c r="L413" i="82"/>
  <c r="S413" i="82" s="1"/>
  <c r="L412" i="82"/>
  <c r="S412" i="82" s="1"/>
  <c r="L411" i="82"/>
  <c r="S411" i="82" s="1"/>
  <c r="L410" i="82"/>
  <c r="S410" i="82" s="1"/>
  <c r="L409" i="82"/>
  <c r="S409" i="82" s="1"/>
  <c r="L408" i="82"/>
  <c r="S408" i="82" s="1"/>
  <c r="L407" i="82"/>
  <c r="S407" i="82" s="1"/>
  <c r="L406" i="82"/>
  <c r="S406" i="82" s="1"/>
  <c r="L405" i="82"/>
  <c r="S405" i="82" s="1"/>
  <c r="L404" i="82"/>
  <c r="S404" i="82" s="1"/>
  <c r="L403" i="82"/>
  <c r="S403" i="82" s="1"/>
  <c r="L402" i="82"/>
  <c r="S402" i="82" s="1"/>
  <c r="L401" i="82"/>
  <c r="S401" i="82" s="1"/>
  <c r="L400" i="82"/>
  <c r="S400" i="82" s="1"/>
  <c r="L399" i="82"/>
  <c r="S399" i="82" s="1"/>
  <c r="L398" i="82"/>
  <c r="S398" i="82" s="1"/>
  <c r="L397" i="82"/>
  <c r="S397" i="82" s="1"/>
  <c r="L396" i="82"/>
  <c r="S396" i="82" s="1"/>
  <c r="L395" i="82"/>
  <c r="S395" i="82" s="1"/>
  <c r="L394" i="82"/>
  <c r="S394" i="82" s="1"/>
  <c r="L393" i="82"/>
  <c r="S393" i="82" s="1"/>
  <c r="L392" i="82"/>
  <c r="S392" i="82" s="1"/>
  <c r="L391" i="82"/>
  <c r="S391" i="82" s="1"/>
  <c r="L390" i="82"/>
  <c r="S390" i="82" s="1"/>
  <c r="L389" i="82"/>
  <c r="S389" i="82" s="1"/>
  <c r="L388" i="82"/>
  <c r="S388" i="82" s="1"/>
  <c r="L387" i="82"/>
  <c r="S387" i="82" s="1"/>
  <c r="L386" i="82"/>
  <c r="S386" i="82" s="1"/>
  <c r="L385" i="82"/>
  <c r="S385" i="82" s="1"/>
  <c r="L384" i="82"/>
  <c r="S384" i="82" s="1"/>
  <c r="L383" i="82"/>
  <c r="S383" i="82" s="1"/>
  <c r="L382" i="82"/>
  <c r="S382" i="82" s="1"/>
  <c r="L381" i="82"/>
  <c r="S381" i="82" s="1"/>
  <c r="L380" i="82"/>
  <c r="S380" i="82" s="1"/>
  <c r="L379" i="82"/>
  <c r="S379" i="82" s="1"/>
  <c r="L378" i="82"/>
  <c r="S378" i="82" s="1"/>
  <c r="L377" i="82"/>
  <c r="S377" i="82" s="1"/>
  <c r="L376" i="82"/>
  <c r="S376" i="82" s="1"/>
  <c r="L375" i="82"/>
  <c r="S375" i="82" s="1"/>
  <c r="L374" i="82"/>
  <c r="S374" i="82" s="1"/>
  <c r="L373" i="82"/>
  <c r="L372" i="82"/>
  <c r="L371" i="82"/>
  <c r="L370" i="82"/>
  <c r="L369" i="82"/>
  <c r="L368" i="82"/>
  <c r="L367" i="82"/>
  <c r="L366" i="82"/>
  <c r="L365" i="82"/>
  <c r="L364" i="82"/>
  <c r="L363" i="82"/>
  <c r="L362" i="82"/>
  <c r="L361" i="82"/>
  <c r="L360" i="82"/>
  <c r="L359" i="82"/>
  <c r="L358" i="82"/>
  <c r="L357" i="82"/>
  <c r="L356" i="82"/>
  <c r="L355" i="82"/>
  <c r="L354" i="82"/>
  <c r="L353" i="82"/>
  <c r="L352" i="82"/>
  <c r="L351" i="82"/>
  <c r="L350" i="82"/>
  <c r="L349" i="82"/>
  <c r="L348" i="82"/>
  <c r="L347" i="82"/>
  <c r="L346" i="82"/>
  <c r="L345" i="82"/>
  <c r="L344" i="82"/>
  <c r="L343" i="82"/>
  <c r="L342" i="82"/>
  <c r="L341" i="82"/>
  <c r="L340" i="82"/>
  <c r="L339" i="82"/>
  <c r="L338" i="82"/>
  <c r="L337" i="82"/>
  <c r="L336" i="82"/>
  <c r="L335" i="82"/>
  <c r="L334" i="82"/>
  <c r="L333" i="82"/>
  <c r="L332" i="82"/>
  <c r="L331" i="82"/>
  <c r="L330" i="82"/>
  <c r="L329" i="82"/>
  <c r="L328" i="82"/>
  <c r="L327" i="82"/>
  <c r="L326" i="82"/>
  <c r="L325" i="82"/>
  <c r="L324" i="82"/>
  <c r="L323" i="82"/>
  <c r="L322" i="82"/>
  <c r="L321" i="82"/>
  <c r="L320" i="82"/>
  <c r="L319" i="82"/>
  <c r="L318" i="82"/>
  <c r="L317" i="82"/>
  <c r="L316" i="82"/>
  <c r="L315" i="82"/>
  <c r="L314" i="82"/>
  <c r="L313" i="82"/>
  <c r="L312" i="82"/>
  <c r="L311" i="82"/>
  <c r="L310" i="82"/>
  <c r="L309" i="82"/>
  <c r="L308" i="82"/>
  <c r="L307" i="82"/>
  <c r="L306" i="82"/>
  <c r="L305" i="82"/>
  <c r="L304" i="82"/>
  <c r="L303" i="82"/>
  <c r="L302" i="82"/>
  <c r="L301" i="82"/>
  <c r="L300" i="82"/>
  <c r="L299" i="82"/>
  <c r="L298" i="82"/>
  <c r="L297" i="82"/>
  <c r="L296" i="82"/>
  <c r="L295" i="82"/>
  <c r="L294" i="82"/>
  <c r="L293" i="82"/>
  <c r="L292" i="82"/>
  <c r="L291" i="82"/>
  <c r="L290" i="82"/>
  <c r="L289" i="82"/>
  <c r="L288" i="82"/>
  <c r="L287" i="82"/>
  <c r="L286" i="82"/>
  <c r="L285" i="82"/>
  <c r="L284" i="82"/>
  <c r="L283" i="82"/>
  <c r="L282" i="82"/>
  <c r="L281" i="82"/>
  <c r="L280" i="82"/>
  <c r="L279" i="82"/>
  <c r="L278" i="82"/>
  <c r="L277" i="82"/>
  <c r="L276" i="82"/>
  <c r="L275" i="82"/>
  <c r="L274" i="82"/>
  <c r="L273" i="82"/>
  <c r="L272" i="82"/>
  <c r="L271" i="82"/>
  <c r="L270" i="82"/>
  <c r="L269" i="82"/>
  <c r="L268" i="82"/>
  <c r="L267" i="82"/>
  <c r="L266" i="82"/>
  <c r="L265" i="82"/>
  <c r="L264" i="82"/>
  <c r="L263" i="82"/>
  <c r="L262" i="82"/>
  <c r="L261" i="82"/>
  <c r="L260" i="82"/>
  <c r="L259" i="82"/>
  <c r="L258" i="82"/>
  <c r="L257" i="82"/>
  <c r="L256" i="82"/>
  <c r="L255" i="82"/>
  <c r="L254" i="82"/>
  <c r="L253" i="82"/>
  <c r="L252" i="82"/>
  <c r="L251" i="82"/>
  <c r="L250" i="82"/>
  <c r="L249" i="82"/>
  <c r="L248" i="82"/>
  <c r="L247" i="82"/>
  <c r="L246" i="82"/>
  <c r="L245" i="82"/>
  <c r="L244" i="82"/>
  <c r="L243" i="82"/>
  <c r="L242" i="82"/>
  <c r="L241" i="82"/>
  <c r="L240" i="82"/>
  <c r="L239" i="82"/>
  <c r="L238" i="82"/>
  <c r="L237" i="82"/>
  <c r="L236" i="82"/>
  <c r="L235" i="82"/>
  <c r="L234" i="82"/>
  <c r="L233" i="82"/>
  <c r="L232" i="82"/>
  <c r="L231" i="82"/>
  <c r="L230" i="82"/>
  <c r="L229" i="82"/>
  <c r="L228" i="82"/>
  <c r="L227" i="82"/>
  <c r="L226" i="82"/>
  <c r="L225" i="82"/>
  <c r="L224" i="82"/>
  <c r="L223" i="82"/>
  <c r="L222" i="82"/>
  <c r="L221" i="82"/>
  <c r="L220" i="82"/>
  <c r="L219" i="82"/>
  <c r="L218" i="82"/>
  <c r="L217" i="82"/>
  <c r="L216" i="82"/>
  <c r="L215" i="82"/>
  <c r="L214" i="82"/>
  <c r="L213" i="82"/>
  <c r="L212" i="82"/>
  <c r="L211" i="82"/>
  <c r="L210" i="82"/>
  <c r="L209" i="82"/>
  <c r="L208" i="82"/>
  <c r="L207" i="82"/>
  <c r="L206" i="82"/>
  <c r="L205" i="82"/>
  <c r="L204" i="82"/>
  <c r="L203" i="82"/>
  <c r="L202" i="82"/>
  <c r="L201" i="82"/>
  <c r="L200" i="82"/>
  <c r="L199" i="82"/>
  <c r="L198" i="82"/>
  <c r="L197" i="82"/>
  <c r="L196" i="82"/>
  <c r="L195" i="82"/>
  <c r="L194" i="82"/>
  <c r="L193" i="82"/>
  <c r="L192" i="82"/>
  <c r="L191" i="82"/>
  <c r="L190" i="82"/>
  <c r="L189" i="82"/>
  <c r="L188" i="82"/>
  <c r="L187" i="82"/>
  <c r="L186" i="82"/>
  <c r="L185" i="82"/>
  <c r="L184" i="82"/>
  <c r="L183" i="82"/>
  <c r="L182" i="82"/>
  <c r="L181" i="82"/>
  <c r="S181" i="82" s="1"/>
  <c r="L180" i="82"/>
  <c r="S180" i="82" s="1"/>
  <c r="L179" i="82"/>
  <c r="S179" i="82" s="1"/>
  <c r="L178" i="82"/>
  <c r="S178" i="82" s="1"/>
  <c r="L177" i="82"/>
  <c r="S177" i="82" s="1"/>
  <c r="L176" i="82"/>
  <c r="S176" i="82" s="1"/>
  <c r="L175" i="82"/>
  <c r="S175" i="82" s="1"/>
  <c r="L174" i="82"/>
  <c r="S174" i="82" s="1"/>
  <c r="L173" i="82"/>
  <c r="S173" i="82" s="1"/>
  <c r="L172" i="82"/>
  <c r="S172" i="82" s="1"/>
  <c r="L171" i="82"/>
  <c r="S171" i="82" s="1"/>
  <c r="L170" i="82"/>
  <c r="S170" i="82" s="1"/>
  <c r="L169" i="82"/>
  <c r="S169" i="82" s="1"/>
  <c r="L168" i="82"/>
  <c r="S168" i="82" s="1"/>
  <c r="L167" i="82"/>
  <c r="S167" i="82" s="1"/>
  <c r="L166" i="82"/>
  <c r="S166" i="82" s="1"/>
  <c r="L165" i="82"/>
  <c r="S165" i="82" s="1"/>
  <c r="L164" i="82"/>
  <c r="S164" i="82" s="1"/>
  <c r="L163" i="82"/>
  <c r="S163" i="82" s="1"/>
  <c r="L162" i="82"/>
  <c r="S162" i="82" s="1"/>
  <c r="L161" i="82"/>
  <c r="S161" i="82" s="1"/>
  <c r="L160" i="82"/>
  <c r="S160" i="82" s="1"/>
  <c r="L159" i="82"/>
  <c r="S159" i="82" s="1"/>
  <c r="L158" i="82"/>
  <c r="S158" i="82" s="1"/>
  <c r="L157" i="82"/>
  <c r="S157" i="82" s="1"/>
  <c r="L156" i="82"/>
  <c r="S156" i="82" s="1"/>
  <c r="L155" i="82"/>
  <c r="S155" i="82" s="1"/>
  <c r="L154" i="82"/>
  <c r="S154" i="82" s="1"/>
  <c r="L153" i="82"/>
  <c r="S153" i="82" s="1"/>
  <c r="L152" i="82"/>
  <c r="S152" i="82" s="1"/>
  <c r="L151" i="82"/>
  <c r="S151" i="82" s="1"/>
  <c r="L150" i="82"/>
  <c r="S150" i="82" s="1"/>
  <c r="L149" i="82"/>
  <c r="S149" i="82" s="1"/>
  <c r="L148" i="82"/>
  <c r="S148" i="82" s="1"/>
  <c r="L147" i="82"/>
  <c r="S147" i="82" s="1"/>
  <c r="L146" i="82"/>
  <c r="S146" i="82" s="1"/>
  <c r="L145" i="82"/>
  <c r="S145" i="82" s="1"/>
  <c r="L144" i="82"/>
  <c r="S144" i="82" s="1"/>
  <c r="L143" i="82"/>
  <c r="S143" i="82" s="1"/>
  <c r="L142" i="82"/>
  <c r="S142" i="82" s="1"/>
  <c r="L141" i="82"/>
  <c r="S141" i="82" s="1"/>
  <c r="L140" i="82"/>
  <c r="S140" i="82" s="1"/>
  <c r="L139" i="82"/>
  <c r="S139" i="82" s="1"/>
  <c r="L138" i="82"/>
  <c r="S138" i="82" s="1"/>
  <c r="L137" i="82"/>
  <c r="S137" i="82" s="1"/>
  <c r="L136" i="82"/>
  <c r="S136" i="82" s="1"/>
  <c r="L135" i="82"/>
  <c r="S135" i="82" s="1"/>
  <c r="L134" i="82"/>
  <c r="S134" i="82" s="1"/>
  <c r="L133" i="82"/>
  <c r="S133" i="82" s="1"/>
  <c r="L132" i="82"/>
  <c r="S132" i="82" s="1"/>
  <c r="L131" i="82"/>
  <c r="S131" i="82" s="1"/>
  <c r="L130" i="82"/>
  <c r="S130" i="82" s="1"/>
  <c r="L129" i="82"/>
  <c r="S129" i="82" s="1"/>
  <c r="L128" i="82"/>
  <c r="S128" i="82" s="1"/>
  <c r="L127" i="82"/>
  <c r="S127" i="82" s="1"/>
  <c r="L126" i="82"/>
  <c r="S126" i="82" s="1"/>
  <c r="L125" i="82"/>
  <c r="S125" i="82" s="1"/>
  <c r="L124" i="82"/>
  <c r="S124" i="82" s="1"/>
  <c r="L123" i="82"/>
  <c r="S123" i="82" s="1"/>
  <c r="L122" i="82"/>
  <c r="S122" i="82" s="1"/>
  <c r="L121" i="82"/>
  <c r="S121" i="82" s="1"/>
  <c r="L120" i="82"/>
  <c r="S120" i="82" s="1"/>
  <c r="L119" i="82"/>
  <c r="S119" i="82" s="1"/>
  <c r="L118" i="82"/>
  <c r="S118" i="82" s="1"/>
  <c r="L117" i="82"/>
  <c r="S117" i="82" s="1"/>
  <c r="L116" i="82"/>
  <c r="S116" i="82" s="1"/>
  <c r="L115" i="82"/>
  <c r="S115" i="82" s="1"/>
  <c r="L114" i="82"/>
  <c r="S114" i="82" s="1"/>
  <c r="L113" i="82"/>
  <c r="S113" i="82" s="1"/>
  <c r="L112" i="82"/>
  <c r="S112" i="82" s="1"/>
  <c r="L111" i="82"/>
  <c r="S111" i="82" s="1"/>
  <c r="L110" i="82"/>
  <c r="S110" i="82" s="1"/>
  <c r="L109" i="82"/>
  <c r="S109" i="82" s="1"/>
  <c r="L108" i="82"/>
  <c r="S108" i="82" s="1"/>
  <c r="L107" i="82"/>
  <c r="S107" i="82" s="1"/>
  <c r="L106" i="82"/>
  <c r="S106" i="82" s="1"/>
  <c r="L105" i="82"/>
  <c r="S105" i="82" s="1"/>
  <c r="L104" i="82"/>
  <c r="S104" i="82" s="1"/>
  <c r="L103" i="82"/>
  <c r="S103" i="82" s="1"/>
  <c r="L102" i="82"/>
  <c r="S102" i="82" s="1"/>
  <c r="L101" i="82"/>
  <c r="S101" i="82" s="1"/>
  <c r="L100" i="82"/>
  <c r="S100" i="82" s="1"/>
  <c r="L99" i="82"/>
  <c r="S99" i="82" s="1"/>
  <c r="L98" i="82"/>
  <c r="S98" i="82" s="1"/>
  <c r="L97" i="82"/>
  <c r="S97" i="82" s="1"/>
  <c r="L96" i="82"/>
  <c r="S96" i="82" s="1"/>
  <c r="L95" i="82"/>
  <c r="S95" i="82" s="1"/>
  <c r="L94" i="82"/>
  <c r="S94" i="82" s="1"/>
  <c r="L93" i="82"/>
  <c r="S93" i="82" s="1"/>
  <c r="L92" i="82"/>
  <c r="N92" i="82" s="1"/>
  <c r="L91" i="82"/>
  <c r="N91" i="82" s="1"/>
  <c r="L90" i="82"/>
  <c r="N90" i="82" s="1"/>
  <c r="L89" i="82"/>
  <c r="N89" i="82" s="1"/>
  <c r="L88" i="82"/>
  <c r="N88" i="82" s="1"/>
  <c r="L87" i="82"/>
  <c r="N87" i="82" s="1"/>
  <c r="L86" i="82"/>
  <c r="N86" i="82" s="1"/>
  <c r="L85" i="82"/>
  <c r="N85" i="82" s="1"/>
  <c r="L84" i="82"/>
  <c r="N84" i="82" s="1"/>
  <c r="L83" i="82"/>
  <c r="N83" i="82" s="1"/>
  <c r="L82" i="82"/>
  <c r="N82" i="82" s="1"/>
  <c r="L81" i="82"/>
  <c r="N81" i="82" s="1"/>
  <c r="L80" i="82"/>
  <c r="N80" i="82" s="1"/>
  <c r="L79" i="82"/>
  <c r="N79" i="82" s="1"/>
  <c r="L78" i="82"/>
  <c r="N78" i="82" s="1"/>
  <c r="L77" i="82"/>
  <c r="N77" i="82" s="1"/>
  <c r="L76" i="82"/>
  <c r="N76" i="82" s="1"/>
  <c r="L75" i="82"/>
  <c r="N75" i="82" s="1"/>
  <c r="L74" i="82"/>
  <c r="N74" i="82" s="1"/>
  <c r="L73" i="82"/>
  <c r="N73" i="82" s="1"/>
  <c r="L72" i="82"/>
  <c r="N72" i="82" s="1"/>
  <c r="L71" i="82"/>
  <c r="N71" i="82" s="1"/>
  <c r="L70" i="82"/>
  <c r="N70" i="82" s="1"/>
  <c r="L69" i="82"/>
  <c r="N69" i="82" s="1"/>
  <c r="L68" i="82"/>
  <c r="N68" i="82" s="1"/>
  <c r="L67" i="82"/>
  <c r="N67" i="82" s="1"/>
  <c r="L66" i="82"/>
  <c r="N66" i="82" s="1"/>
  <c r="L65" i="82"/>
  <c r="N65" i="82" s="1"/>
  <c r="L64" i="82"/>
  <c r="N64" i="82" s="1"/>
  <c r="L63" i="82"/>
  <c r="N63" i="82" s="1"/>
  <c r="L62" i="82"/>
  <c r="N62" i="82" s="1"/>
  <c r="L61" i="82"/>
  <c r="N61" i="82" s="1"/>
  <c r="L60" i="82"/>
  <c r="N60" i="82" s="1"/>
  <c r="L59" i="82"/>
  <c r="N59" i="82" s="1"/>
  <c r="L58" i="82"/>
  <c r="N58" i="82" s="1"/>
  <c r="L57" i="82"/>
  <c r="N57" i="82" s="1"/>
  <c r="L56" i="82"/>
  <c r="N56" i="82" s="1"/>
  <c r="L55" i="82"/>
  <c r="N55" i="82" s="1"/>
  <c r="L54" i="82"/>
  <c r="N54" i="82" s="1"/>
  <c r="L53" i="82"/>
  <c r="N53" i="82" s="1"/>
  <c r="L52" i="82"/>
  <c r="N52" i="82" s="1"/>
  <c r="L51" i="82"/>
  <c r="N51" i="82" s="1"/>
  <c r="L50" i="82"/>
  <c r="N50" i="82" s="1"/>
  <c r="L49" i="82"/>
  <c r="N49" i="82" s="1"/>
  <c r="L48" i="82"/>
  <c r="N48" i="82" s="1"/>
  <c r="L47" i="82"/>
  <c r="N47" i="82" s="1"/>
  <c r="L46" i="82"/>
  <c r="N46" i="82" s="1"/>
  <c r="L45" i="82"/>
  <c r="S45" i="82" s="1"/>
  <c r="L44" i="82"/>
  <c r="S44" i="82" s="1"/>
  <c r="L43" i="82"/>
  <c r="S43" i="82" s="1"/>
  <c r="L42" i="82"/>
  <c r="S42" i="82" s="1"/>
  <c r="L41" i="82"/>
  <c r="S41" i="82" s="1"/>
  <c r="L40" i="82"/>
  <c r="S40" i="82" s="1"/>
  <c r="L39" i="82"/>
  <c r="S39" i="82" s="1"/>
  <c r="L38" i="82"/>
  <c r="S38" i="82" s="1"/>
  <c r="L37" i="82"/>
  <c r="S37" i="82" s="1"/>
  <c r="L36" i="82"/>
  <c r="S36" i="82" s="1"/>
  <c r="L35" i="82"/>
  <c r="S35" i="82" s="1"/>
  <c r="L34" i="82"/>
  <c r="S34" i="82" s="1"/>
  <c r="L33" i="82"/>
  <c r="S33" i="82" s="1"/>
  <c r="L32" i="82"/>
  <c r="S32" i="82" s="1"/>
  <c r="L31" i="82"/>
  <c r="S31" i="82" s="1"/>
  <c r="L30" i="82"/>
  <c r="S30" i="82" s="1"/>
  <c r="L29" i="82"/>
  <c r="S29" i="82" s="1"/>
  <c r="L28" i="82"/>
  <c r="S28" i="82" s="1"/>
  <c r="L27" i="82"/>
  <c r="S27" i="82" s="1"/>
  <c r="L26" i="82"/>
  <c r="S26" i="82" s="1"/>
  <c r="L25" i="82"/>
  <c r="S25" i="82" s="1"/>
  <c r="L24" i="82"/>
  <c r="S24" i="82" s="1"/>
  <c r="L23" i="82"/>
  <c r="S23" i="82" s="1"/>
  <c r="L22" i="82"/>
  <c r="S22" i="82" s="1"/>
  <c r="L21" i="82"/>
  <c r="S21" i="82" s="1"/>
  <c r="L20" i="82"/>
  <c r="S20" i="82" s="1"/>
  <c r="L19" i="82"/>
  <c r="S19" i="82" s="1"/>
  <c r="L18" i="82"/>
  <c r="S18" i="82" s="1"/>
  <c r="L17" i="82"/>
  <c r="S17" i="82" s="1"/>
  <c r="L16" i="82"/>
  <c r="N16" i="82" s="1"/>
  <c r="N17" i="82" l="1"/>
  <c r="N18" i="82"/>
  <c r="N19" i="82"/>
  <c r="N20" i="82"/>
  <c r="N21" i="82"/>
  <c r="N22" i="82"/>
  <c r="N23" i="82"/>
  <c r="N24" i="82"/>
  <c r="N25" i="82"/>
  <c r="N26" i="82"/>
  <c r="N27" i="82"/>
  <c r="N28" i="82"/>
  <c r="N29" i="82"/>
  <c r="N30" i="82"/>
  <c r="N31" i="82"/>
  <c r="N32" i="82"/>
  <c r="N33" i="82"/>
  <c r="N34" i="82"/>
  <c r="N35" i="82"/>
  <c r="N36" i="82"/>
  <c r="N37" i="82"/>
  <c r="N38" i="82"/>
  <c r="N39" i="82"/>
  <c r="N40" i="82"/>
  <c r="N41" i="82"/>
  <c r="N42" i="82"/>
  <c r="N43" i="82"/>
  <c r="N44" i="82"/>
  <c r="N45" i="82"/>
  <c r="S182" i="82"/>
  <c r="N182" i="82"/>
  <c r="S184" i="82"/>
  <c r="N184" i="82"/>
  <c r="S186" i="82"/>
  <c r="N186" i="82"/>
  <c r="S188" i="82"/>
  <c r="N188" i="82"/>
  <c r="S190" i="82"/>
  <c r="N190" i="82"/>
  <c r="S192" i="82"/>
  <c r="N192" i="82"/>
  <c r="S194" i="82"/>
  <c r="N194" i="82"/>
  <c r="S196" i="82"/>
  <c r="N196" i="82"/>
  <c r="S198" i="82"/>
  <c r="N198" i="82"/>
  <c r="S200" i="82"/>
  <c r="N200" i="82"/>
  <c r="S202" i="82"/>
  <c r="N202" i="82"/>
  <c r="S204" i="82"/>
  <c r="N204" i="82"/>
  <c r="S206" i="82"/>
  <c r="N206" i="82"/>
  <c r="S208" i="82"/>
  <c r="N208" i="82"/>
  <c r="S210" i="82"/>
  <c r="N210" i="82"/>
  <c r="S212" i="82"/>
  <c r="N212" i="82"/>
  <c r="S214" i="82"/>
  <c r="N214" i="82"/>
  <c r="S216" i="82"/>
  <c r="N216" i="82"/>
  <c r="S218" i="82"/>
  <c r="N218" i="82"/>
  <c r="S220" i="82"/>
  <c r="N220" i="82"/>
  <c r="S222" i="82"/>
  <c r="N222" i="82"/>
  <c r="S224" i="82"/>
  <c r="N224" i="82"/>
  <c r="S226" i="82"/>
  <c r="N226" i="82"/>
  <c r="S228" i="82"/>
  <c r="N228" i="82"/>
  <c r="S230" i="82"/>
  <c r="N230" i="82"/>
  <c r="S232" i="82"/>
  <c r="N232" i="82"/>
  <c r="S234" i="82"/>
  <c r="N234" i="82"/>
  <c r="S236" i="82"/>
  <c r="N236" i="82"/>
  <c r="S238" i="82"/>
  <c r="N238" i="82"/>
  <c r="S240" i="82"/>
  <c r="N240" i="82"/>
  <c r="S242" i="82"/>
  <c r="N242" i="82"/>
  <c r="S244" i="82"/>
  <c r="N244" i="82"/>
  <c r="S246" i="82"/>
  <c r="N246" i="82"/>
  <c r="S248" i="82"/>
  <c r="N248" i="82"/>
  <c r="S250" i="82"/>
  <c r="N250" i="82"/>
  <c r="S252" i="82"/>
  <c r="N252" i="82"/>
  <c r="S254" i="82"/>
  <c r="N254" i="82"/>
  <c r="S256" i="82"/>
  <c r="N256" i="82"/>
  <c r="S258" i="82"/>
  <c r="N258" i="82"/>
  <c r="S260" i="82"/>
  <c r="N260" i="82"/>
  <c r="S262" i="82"/>
  <c r="N262" i="82"/>
  <c r="S264" i="82"/>
  <c r="N264" i="82"/>
  <c r="S266" i="82"/>
  <c r="N266" i="82"/>
  <c r="S268" i="82"/>
  <c r="N268" i="82"/>
  <c r="S270" i="82"/>
  <c r="N270" i="82"/>
  <c r="S272" i="82"/>
  <c r="N272" i="82"/>
  <c r="S274" i="82"/>
  <c r="N274" i="82"/>
  <c r="S276" i="82"/>
  <c r="N276" i="82"/>
  <c r="S278" i="82"/>
  <c r="N278" i="82"/>
  <c r="S280" i="82"/>
  <c r="N280" i="82"/>
  <c r="S282" i="82"/>
  <c r="N282" i="82"/>
  <c r="S284" i="82"/>
  <c r="N284" i="82"/>
  <c r="S286" i="82"/>
  <c r="N286" i="82"/>
  <c r="S288" i="82"/>
  <c r="N288" i="82"/>
  <c r="S290" i="82"/>
  <c r="N290" i="82"/>
  <c r="S292" i="82"/>
  <c r="N292" i="82"/>
  <c r="S294" i="82"/>
  <c r="N294" i="82"/>
  <c r="S296" i="82"/>
  <c r="N296" i="82"/>
  <c r="S298" i="82"/>
  <c r="N298" i="82"/>
  <c r="S300" i="82"/>
  <c r="N300" i="82"/>
  <c r="S302" i="82"/>
  <c r="N302" i="82"/>
  <c r="S304" i="82"/>
  <c r="N304" i="82"/>
  <c r="S306" i="82"/>
  <c r="N306" i="82"/>
  <c r="S308" i="82"/>
  <c r="N308" i="82"/>
  <c r="S310" i="82"/>
  <c r="N310" i="82"/>
  <c r="S312" i="82"/>
  <c r="N312" i="82"/>
  <c r="S314" i="82"/>
  <c r="N314" i="82"/>
  <c r="S316" i="82"/>
  <c r="N316" i="82"/>
  <c r="S318" i="82"/>
  <c r="N318" i="82"/>
  <c r="S320" i="82"/>
  <c r="N320" i="82"/>
  <c r="S322" i="82"/>
  <c r="N322" i="82"/>
  <c r="S324" i="82"/>
  <c r="N324" i="82"/>
  <c r="S326" i="82"/>
  <c r="N326" i="82"/>
  <c r="S328" i="82"/>
  <c r="N328" i="82"/>
  <c r="S330" i="82"/>
  <c r="N330" i="82"/>
  <c r="S332" i="82"/>
  <c r="N332" i="82"/>
  <c r="S334" i="82"/>
  <c r="N334" i="82"/>
  <c r="S336" i="82"/>
  <c r="N336" i="82"/>
  <c r="S338" i="82"/>
  <c r="N338" i="82"/>
  <c r="S340" i="82"/>
  <c r="N340" i="82"/>
  <c r="S342" i="82"/>
  <c r="N342" i="82"/>
  <c r="S344" i="82"/>
  <c r="N344" i="82"/>
  <c r="S346" i="82"/>
  <c r="N346" i="82"/>
  <c r="S348" i="82"/>
  <c r="N348" i="82"/>
  <c r="S350" i="82"/>
  <c r="N350" i="82"/>
  <c r="S352" i="82"/>
  <c r="N352" i="82"/>
  <c r="S354" i="82"/>
  <c r="N354" i="82"/>
  <c r="S356" i="82"/>
  <c r="N356" i="82"/>
  <c r="S358" i="82"/>
  <c r="N358" i="82"/>
  <c r="S360" i="82"/>
  <c r="N360" i="82"/>
  <c r="S362" i="82"/>
  <c r="N362" i="82"/>
  <c r="S364" i="82"/>
  <c r="N364" i="82"/>
  <c r="S366" i="82"/>
  <c r="N366" i="82"/>
  <c r="S368" i="82"/>
  <c r="N368" i="82"/>
  <c r="S370" i="82"/>
  <c r="N370" i="82"/>
  <c r="S372" i="82"/>
  <c r="N372" i="82"/>
  <c r="S183" i="82"/>
  <c r="N183" i="82"/>
  <c r="S185" i="82"/>
  <c r="N185" i="82"/>
  <c r="S187" i="82"/>
  <c r="N187" i="82"/>
  <c r="S189" i="82"/>
  <c r="N189" i="82"/>
  <c r="S191" i="82"/>
  <c r="N191" i="82"/>
  <c r="S193" i="82"/>
  <c r="N193" i="82"/>
  <c r="S195" i="82"/>
  <c r="N195" i="82"/>
  <c r="S197" i="82"/>
  <c r="N197" i="82"/>
  <c r="S199" i="82"/>
  <c r="N199" i="82"/>
  <c r="S201" i="82"/>
  <c r="N201" i="82"/>
  <c r="S203" i="82"/>
  <c r="N203" i="82"/>
  <c r="S205" i="82"/>
  <c r="N205" i="82"/>
  <c r="S207" i="82"/>
  <c r="N207" i="82"/>
  <c r="S209" i="82"/>
  <c r="N209" i="82"/>
  <c r="S211" i="82"/>
  <c r="N211" i="82"/>
  <c r="S213" i="82"/>
  <c r="N213" i="82"/>
  <c r="S215" i="82"/>
  <c r="N215" i="82"/>
  <c r="S217" i="82"/>
  <c r="N217" i="82"/>
  <c r="S219" i="82"/>
  <c r="N219" i="82"/>
  <c r="S221" i="82"/>
  <c r="N221" i="82"/>
  <c r="S223" i="82"/>
  <c r="N223" i="82"/>
  <c r="S225" i="82"/>
  <c r="N225" i="82"/>
  <c r="S227" i="82"/>
  <c r="N227" i="82"/>
  <c r="S229" i="82"/>
  <c r="N229" i="82"/>
  <c r="S231" i="82"/>
  <c r="N231" i="82"/>
  <c r="S233" i="82"/>
  <c r="N233" i="82"/>
  <c r="S235" i="82"/>
  <c r="N235" i="82"/>
  <c r="S237" i="82"/>
  <c r="N237" i="82"/>
  <c r="S239" i="82"/>
  <c r="N239" i="82"/>
  <c r="S241" i="82"/>
  <c r="N241" i="82"/>
  <c r="S243" i="82"/>
  <c r="N243" i="82"/>
  <c r="S245" i="82"/>
  <c r="N245" i="82"/>
  <c r="S247" i="82"/>
  <c r="N247" i="82"/>
  <c r="S249" i="82"/>
  <c r="N249" i="82"/>
  <c r="S251" i="82"/>
  <c r="N251" i="82"/>
  <c r="S253" i="82"/>
  <c r="N253" i="82"/>
  <c r="S255" i="82"/>
  <c r="N255" i="82"/>
  <c r="S257" i="82"/>
  <c r="N257" i="82"/>
  <c r="S259" i="82"/>
  <c r="N259" i="82"/>
  <c r="S261" i="82"/>
  <c r="N261" i="82"/>
  <c r="S263" i="82"/>
  <c r="N263" i="82"/>
  <c r="S265" i="82"/>
  <c r="N265" i="82"/>
  <c r="S267" i="82"/>
  <c r="N267" i="82"/>
  <c r="S269" i="82"/>
  <c r="N269" i="82"/>
  <c r="S271" i="82"/>
  <c r="N271" i="82"/>
  <c r="S273" i="82"/>
  <c r="N273" i="82"/>
  <c r="S275" i="82"/>
  <c r="N275" i="82"/>
  <c r="S277" i="82"/>
  <c r="N277" i="82"/>
  <c r="S279" i="82"/>
  <c r="N279" i="82"/>
  <c r="S281" i="82"/>
  <c r="N281" i="82"/>
  <c r="S283" i="82"/>
  <c r="N283" i="82"/>
  <c r="S285" i="82"/>
  <c r="N285" i="82"/>
  <c r="S287" i="82"/>
  <c r="N287" i="82"/>
  <c r="S289" i="82"/>
  <c r="N289" i="82"/>
  <c r="S291" i="82"/>
  <c r="N291" i="82"/>
  <c r="S293" i="82"/>
  <c r="N293" i="82"/>
  <c r="S295" i="82"/>
  <c r="N295" i="82"/>
  <c r="S297" i="82"/>
  <c r="N297" i="82"/>
  <c r="S299" i="82"/>
  <c r="N299" i="82"/>
  <c r="S301" i="82"/>
  <c r="N301" i="82"/>
  <c r="S303" i="82"/>
  <c r="N303" i="82"/>
  <c r="S305" i="82"/>
  <c r="N305" i="82"/>
  <c r="S307" i="82"/>
  <c r="N307" i="82"/>
  <c r="S309" i="82"/>
  <c r="N309" i="82"/>
  <c r="S311" i="82"/>
  <c r="N311" i="82"/>
  <c r="S313" i="82"/>
  <c r="N313" i="82"/>
  <c r="S315" i="82"/>
  <c r="N315" i="82"/>
  <c r="S317" i="82"/>
  <c r="N317" i="82"/>
  <c r="S319" i="82"/>
  <c r="N319" i="82"/>
  <c r="S321" i="82"/>
  <c r="N321" i="82"/>
  <c r="S323" i="82"/>
  <c r="N323" i="82"/>
  <c r="S325" i="82"/>
  <c r="N325" i="82"/>
  <c r="S327" i="82"/>
  <c r="N327" i="82"/>
  <c r="S329" i="82"/>
  <c r="N329" i="82"/>
  <c r="S331" i="82"/>
  <c r="N331" i="82"/>
  <c r="S333" i="82"/>
  <c r="N333" i="82"/>
  <c r="S335" i="82"/>
  <c r="N335" i="82"/>
  <c r="S337" i="82"/>
  <c r="N337" i="82"/>
  <c r="S339" i="82"/>
  <c r="N339" i="82"/>
  <c r="S341" i="82"/>
  <c r="N341" i="82"/>
  <c r="S343" i="82"/>
  <c r="N343" i="82"/>
  <c r="S345" i="82"/>
  <c r="N345" i="82"/>
  <c r="S347" i="82"/>
  <c r="N347" i="82"/>
  <c r="S349" i="82"/>
  <c r="N349" i="82"/>
  <c r="S351" i="82"/>
  <c r="N351" i="82"/>
  <c r="S353" i="82"/>
  <c r="N353" i="82"/>
  <c r="S355" i="82"/>
  <c r="N355" i="82"/>
  <c r="S357" i="82"/>
  <c r="N357" i="82"/>
  <c r="S359" i="82"/>
  <c r="N359" i="82"/>
  <c r="S361" i="82"/>
  <c r="N361" i="82"/>
  <c r="S363" i="82"/>
  <c r="N363" i="82"/>
  <c r="S365" i="82"/>
  <c r="N365" i="82"/>
  <c r="S367" i="82"/>
  <c r="N367" i="82"/>
  <c r="S369" i="82"/>
  <c r="N369" i="82"/>
  <c r="S371" i="82"/>
  <c r="N371" i="82"/>
  <c r="S373" i="82"/>
  <c r="N373" i="82"/>
  <c r="N93" i="82"/>
  <c r="N94" i="82"/>
  <c r="N95" i="82"/>
  <c r="N96" i="82"/>
  <c r="N97" i="82"/>
  <c r="N98" i="82"/>
  <c r="N99" i="82"/>
  <c r="N100" i="82"/>
  <c r="N101" i="82"/>
  <c r="N102" i="82"/>
  <c r="N103" i="82"/>
  <c r="N104" i="82"/>
  <c r="N105" i="82"/>
  <c r="N106" i="82"/>
  <c r="N107" i="82"/>
  <c r="N108" i="82"/>
  <c r="N109" i="82"/>
  <c r="N110" i="82"/>
  <c r="N111" i="82"/>
  <c r="N112" i="82"/>
  <c r="N113" i="82"/>
  <c r="N114" i="82"/>
  <c r="N115" i="82"/>
  <c r="N116" i="82"/>
  <c r="N117" i="82"/>
  <c r="N118" i="82"/>
  <c r="N119" i="82"/>
  <c r="N120" i="82"/>
  <c r="N121" i="82"/>
  <c r="N122" i="82"/>
  <c r="N123" i="82"/>
  <c r="N124" i="82"/>
  <c r="N125" i="82"/>
  <c r="N126" i="82"/>
  <c r="N127" i="82"/>
  <c r="N128" i="82"/>
  <c r="N129" i="82"/>
  <c r="N130" i="82"/>
  <c r="N131" i="82"/>
  <c r="N132" i="82"/>
  <c r="N133" i="82"/>
  <c r="N134" i="82"/>
  <c r="N135" i="82"/>
  <c r="N136" i="82"/>
  <c r="N137" i="82"/>
  <c r="N138" i="82"/>
  <c r="N139" i="82"/>
  <c r="N140" i="82"/>
  <c r="N141" i="82"/>
  <c r="N142" i="82"/>
  <c r="N143" i="82"/>
  <c r="N144" i="82"/>
  <c r="N145" i="82"/>
  <c r="N146" i="82"/>
  <c r="N147" i="82"/>
  <c r="N148" i="82"/>
  <c r="N149" i="82"/>
  <c r="N150" i="82"/>
  <c r="N151" i="82"/>
  <c r="N152" i="82"/>
  <c r="N153" i="82"/>
  <c r="N154" i="82"/>
  <c r="N155" i="82"/>
  <c r="N156" i="82"/>
  <c r="N157" i="82"/>
  <c r="N158" i="82"/>
  <c r="N159" i="82"/>
  <c r="N160" i="82"/>
  <c r="N161" i="82"/>
  <c r="N162" i="82"/>
  <c r="N163" i="82"/>
  <c r="N164" i="82"/>
  <c r="N165" i="82"/>
  <c r="N166" i="82"/>
  <c r="N167" i="82"/>
  <c r="N168" i="82"/>
  <c r="N169" i="82"/>
  <c r="N170" i="82"/>
  <c r="N171" i="82"/>
  <c r="N172" i="82"/>
  <c r="N173" i="82"/>
  <c r="N174" i="82"/>
  <c r="N175" i="82"/>
  <c r="N176" i="82"/>
  <c r="N177" i="82"/>
  <c r="N178" i="82"/>
  <c r="N179" i="82"/>
  <c r="N180" i="82"/>
  <c r="N181" i="82"/>
  <c r="N374" i="82"/>
  <c r="N375" i="82"/>
  <c r="N376" i="82"/>
  <c r="N377" i="82"/>
  <c r="N378" i="82"/>
  <c r="N379" i="82"/>
  <c r="N380" i="82"/>
  <c r="N381" i="82"/>
  <c r="N382" i="82"/>
  <c r="N383" i="82"/>
  <c r="N384" i="82"/>
  <c r="N385" i="82"/>
  <c r="N386" i="82"/>
  <c r="N387" i="82"/>
  <c r="N388" i="82"/>
  <c r="N389" i="82"/>
  <c r="N390" i="82"/>
  <c r="N391" i="82"/>
  <c r="N392" i="82"/>
  <c r="N393" i="82"/>
  <c r="N394" i="82"/>
  <c r="N395" i="82"/>
  <c r="N396" i="82"/>
  <c r="N397" i="82"/>
  <c r="N398" i="82"/>
  <c r="N399" i="82"/>
  <c r="N400" i="82"/>
  <c r="N401" i="82"/>
  <c r="N402" i="82"/>
  <c r="N403" i="82"/>
  <c r="N404" i="82"/>
  <c r="N405" i="82"/>
  <c r="N406" i="82"/>
  <c r="N407" i="82"/>
  <c r="N408" i="82"/>
  <c r="N409" i="82"/>
  <c r="N410" i="82"/>
  <c r="N411" i="82"/>
  <c r="N412" i="82"/>
  <c r="N413" i="82"/>
  <c r="N414" i="82"/>
  <c r="N415" i="82"/>
  <c r="N416" i="82"/>
  <c r="N417" i="82"/>
  <c r="N418" i="82"/>
  <c r="N419" i="82"/>
  <c r="N420" i="82"/>
  <c r="N421" i="82"/>
  <c r="N422" i="82"/>
  <c r="N423" i="82"/>
  <c r="N424" i="82"/>
  <c r="N425" i="82"/>
  <c r="N426" i="82"/>
  <c r="N427" i="82"/>
  <c r="N428" i="82"/>
  <c r="N429" i="82"/>
  <c r="N430" i="82"/>
  <c r="N431" i="82"/>
  <c r="N432" i="82"/>
  <c r="N433" i="82"/>
  <c r="N434" i="82"/>
  <c r="N435" i="82"/>
  <c r="N436" i="82"/>
  <c r="N437" i="82"/>
  <c r="L472" i="82"/>
  <c r="S16" i="82"/>
  <c r="S46" i="82"/>
  <c r="S48" i="82"/>
  <c r="S50" i="82"/>
  <c r="S52" i="82"/>
  <c r="S47" i="82"/>
  <c r="S49" i="82"/>
  <c r="S51" i="82"/>
  <c r="S53" i="82"/>
  <c r="S54" i="82"/>
  <c r="S55" i="82"/>
  <c r="S56" i="82"/>
  <c r="S57" i="82"/>
  <c r="S58" i="82"/>
  <c r="S59" i="82"/>
  <c r="S60" i="82"/>
  <c r="S61" i="82"/>
  <c r="S62" i="82"/>
  <c r="S63" i="82"/>
  <c r="S64" i="82"/>
  <c r="S65" i="82"/>
  <c r="S66" i="82"/>
  <c r="S67" i="82"/>
  <c r="S68" i="82"/>
  <c r="S69" i="82"/>
  <c r="S70" i="82"/>
  <c r="S71" i="82"/>
  <c r="S72" i="82"/>
  <c r="S73" i="82"/>
  <c r="S74" i="82"/>
  <c r="S75" i="82"/>
  <c r="S76" i="82"/>
  <c r="S77" i="82"/>
  <c r="S78" i="82"/>
  <c r="S79" i="82"/>
  <c r="S80" i="82"/>
  <c r="S81" i="82"/>
  <c r="S82" i="82"/>
  <c r="S83" i="82"/>
  <c r="S84" i="82"/>
  <c r="S85" i="82"/>
  <c r="S86" i="82"/>
  <c r="S87" i="82"/>
  <c r="S88" i="82"/>
  <c r="S89" i="82"/>
  <c r="S90" i="82"/>
  <c r="S91" i="82"/>
  <c r="S92" i="82"/>
  <c r="N472" i="82" l="1"/>
  <c r="S472" i="82"/>
  <c r="R91" i="82" s="1"/>
  <c r="R46" i="82" l="1"/>
  <c r="R51" i="82"/>
  <c r="R60" i="82"/>
  <c r="R68" i="82"/>
  <c r="R76" i="82"/>
  <c r="R84" i="82"/>
  <c r="R92" i="82"/>
  <c r="R55" i="82"/>
  <c r="R63" i="82"/>
  <c r="R71" i="82"/>
  <c r="R79" i="82"/>
  <c r="R87" i="82"/>
  <c r="R52" i="82"/>
  <c r="R56" i="82"/>
  <c r="R64" i="82"/>
  <c r="R72" i="82"/>
  <c r="R80" i="82"/>
  <c r="R88" i="82"/>
  <c r="R49" i="82"/>
  <c r="R59" i="82"/>
  <c r="R67" i="82"/>
  <c r="R75" i="82"/>
  <c r="R83" i="82"/>
  <c r="R18" i="82"/>
  <c r="R20" i="82"/>
  <c r="R22" i="82"/>
  <c r="R24" i="82"/>
  <c r="R26" i="82"/>
  <c r="R28" i="82"/>
  <c r="R30" i="82"/>
  <c r="R32" i="82"/>
  <c r="R34" i="82"/>
  <c r="R36" i="82"/>
  <c r="R38" i="82"/>
  <c r="R40" i="82"/>
  <c r="R42" i="82"/>
  <c r="R44" i="82"/>
  <c r="R93" i="82"/>
  <c r="R95" i="82"/>
  <c r="R97" i="82"/>
  <c r="R99" i="82"/>
  <c r="R101" i="82"/>
  <c r="R103" i="82"/>
  <c r="R105" i="82"/>
  <c r="R107" i="82"/>
  <c r="R109" i="82"/>
  <c r="R111" i="82"/>
  <c r="R113" i="82"/>
  <c r="R115" i="82"/>
  <c r="R117" i="82"/>
  <c r="R119" i="82"/>
  <c r="R121" i="82"/>
  <c r="R123" i="82"/>
  <c r="R125" i="82"/>
  <c r="R127" i="82"/>
  <c r="R129" i="82"/>
  <c r="R131" i="82"/>
  <c r="R133" i="82"/>
  <c r="R135" i="82"/>
  <c r="R137" i="82"/>
  <c r="R139" i="82"/>
  <c r="R141" i="82"/>
  <c r="R143" i="82"/>
  <c r="R145" i="82"/>
  <c r="R147" i="82"/>
  <c r="R149" i="82"/>
  <c r="R151" i="82"/>
  <c r="R153" i="82"/>
  <c r="R155" i="82"/>
  <c r="R157" i="82"/>
  <c r="R159" i="82"/>
  <c r="R161" i="82"/>
  <c r="R163" i="82"/>
  <c r="R165" i="82"/>
  <c r="R167" i="82"/>
  <c r="R169" i="82"/>
  <c r="R171" i="82"/>
  <c r="R173" i="82"/>
  <c r="R175" i="82"/>
  <c r="R177" i="82"/>
  <c r="R179" i="82"/>
  <c r="R181" i="82"/>
  <c r="R183" i="82"/>
  <c r="R185" i="82"/>
  <c r="R187" i="82"/>
  <c r="R189" i="82"/>
  <c r="R191" i="82"/>
  <c r="R193" i="82"/>
  <c r="R195" i="82"/>
  <c r="R197" i="82"/>
  <c r="R199" i="82"/>
  <c r="R201" i="82"/>
  <c r="R203" i="82"/>
  <c r="R205" i="82"/>
  <c r="R207" i="82"/>
  <c r="R209" i="82"/>
  <c r="R211" i="82"/>
  <c r="R213" i="82"/>
  <c r="R215" i="82"/>
  <c r="R217" i="82"/>
  <c r="R219" i="82"/>
  <c r="R221" i="82"/>
  <c r="R223" i="82"/>
  <c r="R225" i="82"/>
  <c r="R227" i="82"/>
  <c r="R229" i="82"/>
  <c r="R231" i="82"/>
  <c r="R233" i="82"/>
  <c r="R235" i="82"/>
  <c r="R237" i="82"/>
  <c r="R239" i="82"/>
  <c r="R241" i="82"/>
  <c r="R243" i="82"/>
  <c r="R245" i="82"/>
  <c r="R247" i="82"/>
  <c r="R248" i="82"/>
  <c r="R250" i="82"/>
  <c r="R252" i="82"/>
  <c r="R254" i="82"/>
  <c r="R256" i="82"/>
  <c r="R258" i="82"/>
  <c r="R260" i="82"/>
  <c r="R262" i="82"/>
  <c r="R264" i="82"/>
  <c r="R266" i="82"/>
  <c r="R268" i="82"/>
  <c r="R270" i="82"/>
  <c r="R272" i="82"/>
  <c r="R274" i="82"/>
  <c r="R276" i="82"/>
  <c r="R278" i="82"/>
  <c r="R280" i="82"/>
  <c r="R282" i="82"/>
  <c r="R284" i="82"/>
  <c r="R286" i="82"/>
  <c r="R288" i="82"/>
  <c r="R290" i="82"/>
  <c r="R292" i="82"/>
  <c r="R294" i="82"/>
  <c r="R296" i="82"/>
  <c r="R298" i="82"/>
  <c r="R300" i="82"/>
  <c r="R302" i="82"/>
  <c r="R304" i="82"/>
  <c r="R306" i="82"/>
  <c r="R308" i="82"/>
  <c r="R310" i="82"/>
  <c r="R312" i="82"/>
  <c r="R314" i="82"/>
  <c r="R316" i="82"/>
  <c r="R318" i="82"/>
  <c r="R320" i="82"/>
  <c r="R322" i="82"/>
  <c r="R17" i="82"/>
  <c r="R19" i="82"/>
  <c r="R21" i="82"/>
  <c r="R23" i="82"/>
  <c r="R25" i="82"/>
  <c r="R27" i="82"/>
  <c r="R29" i="82"/>
  <c r="R31" i="82"/>
  <c r="R33" i="82"/>
  <c r="R35" i="82"/>
  <c r="R37" i="82"/>
  <c r="R39" i="82"/>
  <c r="R41" i="82"/>
  <c r="R43" i="82"/>
  <c r="R45" i="82"/>
  <c r="R94" i="82"/>
  <c r="R96" i="82"/>
  <c r="R98" i="82"/>
  <c r="R100" i="82"/>
  <c r="R102" i="82"/>
  <c r="R104" i="82"/>
  <c r="R106" i="82"/>
  <c r="R108" i="82"/>
  <c r="R110" i="82"/>
  <c r="R112" i="82"/>
  <c r="R114" i="82"/>
  <c r="R116" i="82"/>
  <c r="R118" i="82"/>
  <c r="R120" i="82"/>
  <c r="R122" i="82"/>
  <c r="R124" i="82"/>
  <c r="R126" i="82"/>
  <c r="R128" i="82"/>
  <c r="R130" i="82"/>
  <c r="R132" i="82"/>
  <c r="R134" i="82"/>
  <c r="R136" i="82"/>
  <c r="R138" i="82"/>
  <c r="R140" i="82"/>
  <c r="R142" i="82"/>
  <c r="R144" i="82"/>
  <c r="R146" i="82"/>
  <c r="R148" i="82"/>
  <c r="R150" i="82"/>
  <c r="R152" i="82"/>
  <c r="R154" i="82"/>
  <c r="R156" i="82"/>
  <c r="R158" i="82"/>
  <c r="R160" i="82"/>
  <c r="R162" i="82"/>
  <c r="R164" i="82"/>
  <c r="R166" i="82"/>
  <c r="R168" i="82"/>
  <c r="R170" i="82"/>
  <c r="R172" i="82"/>
  <c r="R174" i="82"/>
  <c r="R176" i="82"/>
  <c r="R178" i="82"/>
  <c r="R180" i="82"/>
  <c r="R182" i="82"/>
  <c r="R184" i="82"/>
  <c r="R186" i="82"/>
  <c r="R188" i="82"/>
  <c r="R190" i="82"/>
  <c r="R192" i="82"/>
  <c r="R194" i="82"/>
  <c r="R196" i="82"/>
  <c r="R198" i="82"/>
  <c r="R200" i="82"/>
  <c r="R202" i="82"/>
  <c r="R204" i="82"/>
  <c r="R206" i="82"/>
  <c r="R208" i="82"/>
  <c r="R210" i="82"/>
  <c r="R212" i="82"/>
  <c r="R214" i="82"/>
  <c r="R216" i="82"/>
  <c r="R218" i="82"/>
  <c r="R220" i="82"/>
  <c r="R222" i="82"/>
  <c r="R224" i="82"/>
  <c r="R226" i="82"/>
  <c r="R228" i="82"/>
  <c r="R230" i="82"/>
  <c r="R232" i="82"/>
  <c r="R234" i="82"/>
  <c r="R236" i="82"/>
  <c r="R238" i="82"/>
  <c r="R240" i="82"/>
  <c r="R242" i="82"/>
  <c r="R244" i="82"/>
  <c r="R246" i="82"/>
  <c r="R249" i="82"/>
  <c r="R251" i="82"/>
  <c r="R253" i="82"/>
  <c r="R255" i="82"/>
  <c r="R257" i="82"/>
  <c r="R259" i="82"/>
  <c r="R261" i="82"/>
  <c r="R263" i="82"/>
  <c r="R265" i="82"/>
  <c r="R267" i="82"/>
  <c r="R269" i="82"/>
  <c r="R271" i="82"/>
  <c r="R273" i="82"/>
  <c r="R275" i="82"/>
  <c r="R277" i="82"/>
  <c r="R279" i="82"/>
  <c r="R281" i="82"/>
  <c r="R283" i="82"/>
  <c r="R285" i="82"/>
  <c r="R287" i="82"/>
  <c r="R289" i="82"/>
  <c r="R291" i="82"/>
  <c r="R293" i="82"/>
  <c r="R295" i="82"/>
  <c r="R297" i="82"/>
  <c r="R299" i="82"/>
  <c r="R301" i="82"/>
  <c r="R303" i="82"/>
  <c r="R305" i="82"/>
  <c r="R307" i="82"/>
  <c r="R309" i="82"/>
  <c r="R311" i="82"/>
  <c r="R313" i="82"/>
  <c r="R317" i="82"/>
  <c r="R321" i="82"/>
  <c r="R324" i="82"/>
  <c r="R326" i="82"/>
  <c r="R328" i="82"/>
  <c r="R330" i="82"/>
  <c r="R332" i="82"/>
  <c r="R334" i="82"/>
  <c r="R336" i="82"/>
  <c r="R338" i="82"/>
  <c r="R340" i="82"/>
  <c r="R342" i="82"/>
  <c r="R344" i="82"/>
  <c r="R346" i="82"/>
  <c r="R348" i="82"/>
  <c r="R350" i="82"/>
  <c r="R352" i="82"/>
  <c r="R354" i="82"/>
  <c r="R356" i="82"/>
  <c r="R358" i="82"/>
  <c r="R360" i="82"/>
  <c r="R362" i="82"/>
  <c r="R364" i="82"/>
  <c r="R366" i="82"/>
  <c r="R368" i="82"/>
  <c r="R370" i="82"/>
  <c r="R372" i="82"/>
  <c r="R374" i="82"/>
  <c r="R376" i="82"/>
  <c r="R378" i="82"/>
  <c r="R380" i="82"/>
  <c r="R382" i="82"/>
  <c r="R384" i="82"/>
  <c r="R386" i="82"/>
  <c r="R388" i="82"/>
  <c r="R390" i="82"/>
  <c r="R392" i="82"/>
  <c r="R394" i="82"/>
  <c r="R396" i="82"/>
  <c r="R398" i="82"/>
  <c r="R400" i="82"/>
  <c r="R402" i="82"/>
  <c r="R404" i="82"/>
  <c r="R406" i="82"/>
  <c r="R408" i="82"/>
  <c r="R410" i="82"/>
  <c r="R412" i="82"/>
  <c r="R414" i="82"/>
  <c r="R416" i="82"/>
  <c r="R418" i="82"/>
  <c r="R420" i="82"/>
  <c r="R422" i="82"/>
  <c r="R424" i="82"/>
  <c r="R426" i="82"/>
  <c r="R428" i="82"/>
  <c r="R430" i="82"/>
  <c r="R432" i="82"/>
  <c r="R434" i="82"/>
  <c r="R436" i="82"/>
  <c r="R315" i="82"/>
  <c r="R319" i="82"/>
  <c r="R323" i="82"/>
  <c r="R325" i="82"/>
  <c r="R327" i="82"/>
  <c r="R329" i="82"/>
  <c r="R331" i="82"/>
  <c r="R333" i="82"/>
  <c r="R335" i="82"/>
  <c r="R337" i="82"/>
  <c r="R339" i="82"/>
  <c r="R341" i="82"/>
  <c r="R343" i="82"/>
  <c r="R345" i="82"/>
  <c r="R347" i="82"/>
  <c r="R349" i="82"/>
  <c r="R351" i="82"/>
  <c r="R353" i="82"/>
  <c r="R355" i="82"/>
  <c r="R357" i="82"/>
  <c r="R359" i="82"/>
  <c r="R361" i="82"/>
  <c r="R363" i="82"/>
  <c r="R365" i="82"/>
  <c r="R367" i="82"/>
  <c r="R369" i="82"/>
  <c r="R371" i="82"/>
  <c r="R373" i="82"/>
  <c r="R375" i="82"/>
  <c r="R377" i="82"/>
  <c r="R379" i="82"/>
  <c r="R381" i="82"/>
  <c r="R383" i="82"/>
  <c r="R385" i="82"/>
  <c r="R387" i="82"/>
  <c r="R389" i="82"/>
  <c r="R391" i="82"/>
  <c r="R393" i="82"/>
  <c r="R395" i="82"/>
  <c r="R397" i="82"/>
  <c r="R399" i="82"/>
  <c r="R401" i="82"/>
  <c r="R403" i="82"/>
  <c r="R405" i="82"/>
  <c r="R407" i="82"/>
  <c r="R409" i="82"/>
  <c r="R411" i="82"/>
  <c r="R413" i="82"/>
  <c r="R415" i="82"/>
  <c r="R417" i="82"/>
  <c r="R419" i="82"/>
  <c r="R421" i="82"/>
  <c r="R423" i="82"/>
  <c r="R425" i="82"/>
  <c r="R427" i="82"/>
  <c r="R429" i="82"/>
  <c r="R431" i="82"/>
  <c r="R433" i="82"/>
  <c r="R435" i="82"/>
  <c r="R437" i="82"/>
  <c r="R50" i="82"/>
  <c r="R47" i="82"/>
  <c r="R54" i="82"/>
  <c r="R58" i="82"/>
  <c r="R62" i="82"/>
  <c r="R66" i="82"/>
  <c r="R70" i="82"/>
  <c r="R74" i="82"/>
  <c r="R78" i="82"/>
  <c r="R82" i="82"/>
  <c r="R86" i="82"/>
  <c r="R90" i="82"/>
  <c r="R48" i="82"/>
  <c r="R53" i="82"/>
  <c r="R57" i="82"/>
  <c r="R61" i="82"/>
  <c r="R65" i="82"/>
  <c r="R69" i="82"/>
  <c r="R73" i="82"/>
  <c r="R77" i="82"/>
  <c r="R81" i="82"/>
  <c r="R85" i="82"/>
  <c r="R89" i="82"/>
  <c r="R16" i="82"/>
  <c r="R472" i="82" l="1"/>
  <c r="H64" i="80" l="1"/>
  <c r="H67" i="80"/>
  <c r="H75" i="80"/>
  <c r="G74" i="80"/>
  <c r="I38" i="22" s="1"/>
  <c r="H62" i="80"/>
  <c r="H63" i="80"/>
  <c r="H65" i="80"/>
  <c r="J13" i="86" s="1"/>
  <c r="H66" i="80"/>
  <c r="H74" i="80"/>
  <c r="H76" i="80"/>
  <c r="H77" i="80"/>
  <c r="H78" i="80"/>
  <c r="H79" i="80"/>
  <c r="F43" i="70" s="1"/>
  <c r="H18" i="80"/>
  <c r="H21" i="80"/>
  <c r="I36" i="32"/>
  <c r="G41" i="63"/>
  <c r="P22" i="59"/>
  <c r="G66" i="80"/>
  <c r="I26" i="22" s="1"/>
  <c r="G67" i="80"/>
  <c r="I30" i="22" s="1"/>
  <c r="G64" i="80"/>
  <c r="I21" i="22" s="1"/>
  <c r="G17" i="63"/>
  <c r="H25" i="80"/>
  <c r="H26" i="80"/>
  <c r="H27" i="80"/>
  <c r="G62" i="80"/>
  <c r="I16" i="22" s="1"/>
  <c r="G75" i="80"/>
  <c r="H41" i="22" s="1"/>
  <c r="K19" i="32" s="1"/>
  <c r="G76" i="80"/>
  <c r="H42" i="22" s="1"/>
  <c r="G77" i="80"/>
  <c r="J44" i="22" s="1"/>
  <c r="G78" i="80"/>
  <c r="I48" i="22" s="1"/>
  <c r="L26" i="32" s="1"/>
  <c r="M27" i="57"/>
  <c r="M25" i="57"/>
  <c r="M23" i="57"/>
  <c r="M21" i="57"/>
  <c r="M19" i="57"/>
  <c r="M15" i="57"/>
  <c r="G47" i="63"/>
  <c r="G51" i="63"/>
  <c r="H20" i="80"/>
  <c r="D23" i="80"/>
  <c r="E23" i="80"/>
  <c r="F23" i="80"/>
  <c r="D29" i="80"/>
  <c r="E29" i="80"/>
  <c r="F29" i="80"/>
  <c r="G29" i="80"/>
  <c r="H31" i="80"/>
  <c r="D33" i="80"/>
  <c r="E33" i="80"/>
  <c r="F33" i="80"/>
  <c r="H33" i="80"/>
  <c r="D45" i="80"/>
  <c r="D47" i="80" s="1"/>
  <c r="E45" i="80"/>
  <c r="E47" i="80" s="1"/>
  <c r="G45" i="80"/>
  <c r="D57" i="80"/>
  <c r="E57" i="80"/>
  <c r="F57" i="80"/>
  <c r="G57" i="80"/>
  <c r="G63" i="80"/>
  <c r="I20" i="22" s="1"/>
  <c r="G65" i="80"/>
  <c r="I25" i="22" s="1"/>
  <c r="D69" i="80"/>
  <c r="E69" i="80"/>
  <c r="G79" i="80"/>
  <c r="I49" i="22" s="1"/>
  <c r="L27" i="32" s="1"/>
  <c r="D81" i="80"/>
  <c r="E81" i="80"/>
  <c r="F81" i="80"/>
  <c r="L29" i="59"/>
  <c r="G27" i="59"/>
  <c r="I27" i="59"/>
  <c r="L24" i="59"/>
  <c r="L65" i="59" s="1"/>
  <c r="L22" i="59"/>
  <c r="I20" i="59"/>
  <c r="L17" i="59"/>
  <c r="L15" i="59" s="1"/>
  <c r="E56" i="67"/>
  <c r="H48" i="61"/>
  <c r="J48" i="61"/>
  <c r="K53" i="57"/>
  <c r="H53" i="57"/>
  <c r="D53" i="57"/>
  <c r="N27" i="59"/>
  <c r="N15" i="59"/>
  <c r="J61" i="59"/>
  <c r="T66" i="59" s="1"/>
  <c r="G15" i="59"/>
  <c r="H81" i="80" l="1"/>
  <c r="G53" i="63"/>
  <c r="J50" i="86"/>
  <c r="M34" i="32"/>
  <c r="E36" i="32"/>
  <c r="F34" i="32" s="1"/>
  <c r="J55" i="84"/>
  <c r="J51" i="84"/>
  <c r="E62" i="60"/>
  <c r="J49" i="84"/>
  <c r="F41" i="70"/>
  <c r="F23" i="70"/>
  <c r="F21" i="70"/>
  <c r="F17" i="70"/>
  <c r="J50" i="84"/>
  <c r="J52" i="84"/>
  <c r="J53" i="84"/>
  <c r="J54" i="84"/>
  <c r="E58" i="67"/>
  <c r="R22" i="59"/>
  <c r="R17" i="59"/>
  <c r="Z24" i="59" s="1"/>
  <c r="G17" i="92"/>
  <c r="R31" i="59"/>
  <c r="G50" i="92"/>
  <c r="R33" i="59"/>
  <c r="G52" i="92"/>
  <c r="J53" i="86"/>
  <c r="F19" i="70"/>
  <c r="G41" i="92"/>
  <c r="R24" i="59"/>
  <c r="J48" i="84"/>
  <c r="J10" i="86"/>
  <c r="J12" i="86"/>
  <c r="J14" i="86"/>
  <c r="J11" i="86"/>
  <c r="J15" i="86"/>
  <c r="P63" i="59"/>
  <c r="J14" i="22"/>
  <c r="E21" i="32"/>
  <c r="J51" i="86"/>
  <c r="J54" i="86"/>
  <c r="J52" i="86"/>
  <c r="E58" i="68"/>
  <c r="E18" i="64"/>
  <c r="J124" i="84"/>
  <c r="E20" i="64"/>
  <c r="J125" i="84"/>
  <c r="J89" i="84"/>
  <c r="J90" i="84"/>
  <c r="J88" i="84"/>
  <c r="E25" i="32"/>
  <c r="K20" i="32"/>
  <c r="L17" i="32" s="1"/>
  <c r="J18" i="22"/>
  <c r="M22" i="32"/>
  <c r="P17" i="59"/>
  <c r="H69" i="80"/>
  <c r="P33" i="59"/>
  <c r="I48" i="61"/>
  <c r="L19" i="61"/>
  <c r="I61" i="59"/>
  <c r="T65" i="59" s="1"/>
  <c r="P24" i="59"/>
  <c r="E30" i="32"/>
  <c r="H57" i="80"/>
  <c r="P475" i="82"/>
  <c r="U11" i="82"/>
  <c r="N61" i="59"/>
  <c r="G61" i="59"/>
  <c r="D85" i="80"/>
  <c r="L20" i="59"/>
  <c r="E35" i="80"/>
  <c r="E84" i="80" s="1"/>
  <c r="F59" i="3"/>
  <c r="L27" i="59"/>
  <c r="F35" i="80"/>
  <c r="H29" i="80"/>
  <c r="L16" i="32"/>
  <c r="P31" i="59"/>
  <c r="E26" i="32"/>
  <c r="M24" i="32"/>
  <c r="D35" i="80"/>
  <c r="E20" i="32"/>
  <c r="E16" i="32"/>
  <c r="F14" i="32" s="1"/>
  <c r="P29" i="59"/>
  <c r="R29" i="59" s="1"/>
  <c r="J23" i="22"/>
  <c r="H23" i="80"/>
  <c r="J46" i="22"/>
  <c r="I39" i="22"/>
  <c r="J36" i="22" s="1"/>
  <c r="G57" i="92" l="1"/>
  <c r="G59" i="92" s="1"/>
  <c r="J17" i="86"/>
  <c r="K13" i="86" s="1"/>
  <c r="L48" i="61"/>
  <c r="L49" i="61" s="1"/>
  <c r="J57" i="84"/>
  <c r="K49" i="84" s="1"/>
  <c r="D84" i="80"/>
  <c r="F56" i="70"/>
  <c r="F58" i="70" s="1"/>
  <c r="T33" i="59"/>
  <c r="E22" i="64"/>
  <c r="E56" i="64" s="1"/>
  <c r="E58" i="64" s="1"/>
  <c r="T31" i="59"/>
  <c r="J55" i="86"/>
  <c r="J56" i="86" s="1"/>
  <c r="P15" i="59"/>
  <c r="R15" i="59"/>
  <c r="T15" i="59" s="1"/>
  <c r="P20" i="59"/>
  <c r="F18" i="32"/>
  <c r="T22" i="59"/>
  <c r="R27" i="59"/>
  <c r="T27" i="59" s="1"/>
  <c r="K32" i="22"/>
  <c r="G55" i="63" s="1"/>
  <c r="J38" i="86"/>
  <c r="T29" i="59"/>
  <c r="J12" i="84"/>
  <c r="J126" i="84"/>
  <c r="J136" i="84" s="1"/>
  <c r="R63" i="59"/>
  <c r="M54" i="57"/>
  <c r="P27" i="59"/>
  <c r="F23" i="32"/>
  <c r="M14" i="32"/>
  <c r="H35" i="80"/>
  <c r="P60" i="82"/>
  <c r="V60" i="82" s="1"/>
  <c r="P76" i="82"/>
  <c r="V76" i="82" s="1"/>
  <c r="P92" i="82"/>
  <c r="V92" i="82" s="1"/>
  <c r="P63" i="82"/>
  <c r="V63" i="82" s="1"/>
  <c r="P79" i="82"/>
  <c r="V79" i="82" s="1"/>
  <c r="P46" i="82"/>
  <c r="V46" i="82" s="1"/>
  <c r="P56" i="82"/>
  <c r="V56" i="82" s="1"/>
  <c r="P72" i="82"/>
  <c r="V72" i="82" s="1"/>
  <c r="P88" i="82"/>
  <c r="V88" i="82" s="1"/>
  <c r="P59" i="82"/>
  <c r="V59" i="82" s="1"/>
  <c r="P75" i="82"/>
  <c r="V75" i="82" s="1"/>
  <c r="P91" i="82"/>
  <c r="V91" i="82" s="1"/>
  <c r="P51" i="82"/>
  <c r="V51" i="82" s="1"/>
  <c r="P68" i="82"/>
  <c r="V68" i="82" s="1"/>
  <c r="P84" i="82"/>
  <c r="V84" i="82" s="1"/>
  <c r="P55" i="82"/>
  <c r="V55" i="82" s="1"/>
  <c r="P71" i="82"/>
  <c r="V71" i="82" s="1"/>
  <c r="P87" i="82"/>
  <c r="V87" i="82" s="1"/>
  <c r="P52" i="82"/>
  <c r="V52" i="82" s="1"/>
  <c r="P64" i="82"/>
  <c r="V64" i="82" s="1"/>
  <c r="P80" i="82"/>
  <c r="V80" i="82" s="1"/>
  <c r="P49" i="82"/>
  <c r="V49" i="82" s="1"/>
  <c r="P67" i="82"/>
  <c r="V67" i="82" s="1"/>
  <c r="P83" i="82"/>
  <c r="V83" i="82" s="1"/>
  <c r="P69" i="82"/>
  <c r="V69" i="82" s="1"/>
  <c r="P89" i="82"/>
  <c r="V89" i="82" s="1"/>
  <c r="P73" i="82"/>
  <c r="V73" i="82" s="1"/>
  <c r="P57" i="82"/>
  <c r="V57" i="82" s="1"/>
  <c r="P86" i="82"/>
  <c r="V86" i="82" s="1"/>
  <c r="P70" i="82"/>
  <c r="V70" i="82" s="1"/>
  <c r="P54" i="82"/>
  <c r="V54" i="82" s="1"/>
  <c r="P435" i="82"/>
  <c r="V435" i="82" s="1"/>
  <c r="P427" i="82"/>
  <c r="V427" i="82" s="1"/>
  <c r="P419" i="82"/>
  <c r="V419" i="82" s="1"/>
  <c r="P411" i="82"/>
  <c r="V411" i="82" s="1"/>
  <c r="P403" i="82"/>
  <c r="V403" i="82" s="1"/>
  <c r="P395" i="82"/>
  <c r="V395" i="82" s="1"/>
  <c r="P387" i="82"/>
  <c r="V387" i="82" s="1"/>
  <c r="P379" i="82"/>
  <c r="V379" i="82" s="1"/>
  <c r="P371" i="82"/>
  <c r="V371" i="82" s="1"/>
  <c r="P363" i="82"/>
  <c r="V363" i="82" s="1"/>
  <c r="P355" i="82"/>
  <c r="V355" i="82" s="1"/>
  <c r="P347" i="82"/>
  <c r="V347" i="82" s="1"/>
  <c r="P339" i="82"/>
  <c r="V339" i="82" s="1"/>
  <c r="P331" i="82"/>
  <c r="V331" i="82" s="1"/>
  <c r="P323" i="82"/>
  <c r="V323" i="82" s="1"/>
  <c r="P434" i="82"/>
  <c r="V434" i="82" s="1"/>
  <c r="P426" i="82"/>
  <c r="V426" i="82" s="1"/>
  <c r="P418" i="82"/>
  <c r="V418" i="82" s="1"/>
  <c r="P410" i="82"/>
  <c r="V410" i="82" s="1"/>
  <c r="P402" i="82"/>
  <c r="V402" i="82" s="1"/>
  <c r="P394" i="82"/>
  <c r="V394" i="82" s="1"/>
  <c r="P386" i="82"/>
  <c r="V386" i="82" s="1"/>
  <c r="P378" i="82"/>
  <c r="V378" i="82" s="1"/>
  <c r="P370" i="82"/>
  <c r="V370" i="82" s="1"/>
  <c r="P362" i="82"/>
  <c r="V362" i="82" s="1"/>
  <c r="P354" i="82"/>
  <c r="V354" i="82" s="1"/>
  <c r="P346" i="82"/>
  <c r="V346" i="82" s="1"/>
  <c r="P338" i="82"/>
  <c r="V338" i="82" s="1"/>
  <c r="P330" i="82"/>
  <c r="V330" i="82" s="1"/>
  <c r="P321" i="82"/>
  <c r="V321" i="82" s="1"/>
  <c r="P309" i="82"/>
  <c r="V309" i="82" s="1"/>
  <c r="P301" i="82"/>
  <c r="V301" i="82" s="1"/>
  <c r="P293" i="82"/>
  <c r="V293" i="82" s="1"/>
  <c r="P285" i="82"/>
  <c r="V285" i="82" s="1"/>
  <c r="P277" i="82"/>
  <c r="V277" i="82" s="1"/>
  <c r="P269" i="82"/>
  <c r="V269" i="82" s="1"/>
  <c r="P261" i="82"/>
  <c r="V261" i="82" s="1"/>
  <c r="P253" i="82"/>
  <c r="V253" i="82" s="1"/>
  <c r="P244" i="82"/>
  <c r="V244" i="82" s="1"/>
  <c r="P236" i="82"/>
  <c r="V236" i="82" s="1"/>
  <c r="P228" i="82"/>
  <c r="V228" i="82" s="1"/>
  <c r="P220" i="82"/>
  <c r="V220" i="82" s="1"/>
  <c r="P212" i="82"/>
  <c r="V212" i="82" s="1"/>
  <c r="P204" i="82"/>
  <c r="V204" i="82" s="1"/>
  <c r="P196" i="82"/>
  <c r="V196" i="82" s="1"/>
  <c r="P188" i="82"/>
  <c r="V188" i="82" s="1"/>
  <c r="P180" i="82"/>
  <c r="V180" i="82" s="1"/>
  <c r="P172" i="82"/>
  <c r="V172" i="82" s="1"/>
  <c r="P164" i="82"/>
  <c r="V164" i="82" s="1"/>
  <c r="P156" i="82"/>
  <c r="V156" i="82" s="1"/>
  <c r="P148" i="82"/>
  <c r="V148" i="82" s="1"/>
  <c r="P140" i="82"/>
  <c r="V140" i="82" s="1"/>
  <c r="P132" i="82"/>
  <c r="V132" i="82" s="1"/>
  <c r="P124" i="82"/>
  <c r="V124" i="82" s="1"/>
  <c r="P116" i="82"/>
  <c r="V116" i="82" s="1"/>
  <c r="P108" i="82"/>
  <c r="V108" i="82" s="1"/>
  <c r="P100" i="82"/>
  <c r="V100" i="82" s="1"/>
  <c r="P45" i="82"/>
  <c r="V45" i="82" s="1"/>
  <c r="P37" i="82"/>
  <c r="V37" i="82" s="1"/>
  <c r="P29" i="82"/>
  <c r="V29" i="82" s="1"/>
  <c r="P21" i="82"/>
  <c r="V21" i="82" s="1"/>
  <c r="P320" i="82"/>
  <c r="V320" i="82" s="1"/>
  <c r="P312" i="82"/>
  <c r="V312" i="82" s="1"/>
  <c r="P304" i="82"/>
  <c r="V304" i="82" s="1"/>
  <c r="P296" i="82"/>
  <c r="V296" i="82" s="1"/>
  <c r="P288" i="82"/>
  <c r="V288" i="82" s="1"/>
  <c r="P280" i="82"/>
  <c r="V280" i="82" s="1"/>
  <c r="P272" i="82"/>
  <c r="V272" i="82" s="1"/>
  <c r="P264" i="82"/>
  <c r="V264" i="82" s="1"/>
  <c r="P256" i="82"/>
  <c r="V256" i="82" s="1"/>
  <c r="P248" i="82"/>
  <c r="V248" i="82" s="1"/>
  <c r="P241" i="82"/>
  <c r="V241" i="82" s="1"/>
  <c r="P233" i="82"/>
  <c r="V233" i="82" s="1"/>
  <c r="P225" i="82"/>
  <c r="V225" i="82" s="1"/>
  <c r="P217" i="82"/>
  <c r="V217" i="82" s="1"/>
  <c r="P209" i="82"/>
  <c r="V209" i="82" s="1"/>
  <c r="P201" i="82"/>
  <c r="V201" i="82" s="1"/>
  <c r="P193" i="82"/>
  <c r="V193" i="82" s="1"/>
  <c r="P185" i="82"/>
  <c r="V185" i="82" s="1"/>
  <c r="P177" i="82"/>
  <c r="V177" i="82" s="1"/>
  <c r="P169" i="82"/>
  <c r="V169" i="82" s="1"/>
  <c r="P161" i="82"/>
  <c r="V161" i="82" s="1"/>
  <c r="P153" i="82"/>
  <c r="V153" i="82" s="1"/>
  <c r="P145" i="82"/>
  <c r="V145" i="82" s="1"/>
  <c r="P137" i="82"/>
  <c r="V137" i="82" s="1"/>
  <c r="P129" i="82"/>
  <c r="V129" i="82" s="1"/>
  <c r="P121" i="82"/>
  <c r="V121" i="82" s="1"/>
  <c r="P113" i="82"/>
  <c r="V113" i="82" s="1"/>
  <c r="P105" i="82"/>
  <c r="V105" i="82" s="1"/>
  <c r="P97" i="82"/>
  <c r="V97" i="82" s="1"/>
  <c r="P42" i="82"/>
  <c r="V42" i="82" s="1"/>
  <c r="P34" i="82"/>
  <c r="V34" i="82" s="1"/>
  <c r="P26" i="82"/>
  <c r="V26" i="82" s="1"/>
  <c r="P18" i="82"/>
  <c r="V18" i="82" s="1"/>
  <c r="P61" i="82"/>
  <c r="V61" i="82" s="1"/>
  <c r="P82" i="82"/>
  <c r="V82" i="82" s="1"/>
  <c r="P66" i="82"/>
  <c r="V66" i="82" s="1"/>
  <c r="P47" i="82"/>
  <c r="V47" i="82" s="1"/>
  <c r="P433" i="82"/>
  <c r="V433" i="82" s="1"/>
  <c r="P425" i="82"/>
  <c r="V425" i="82" s="1"/>
  <c r="P417" i="82"/>
  <c r="V417" i="82" s="1"/>
  <c r="P409" i="82"/>
  <c r="V409" i="82" s="1"/>
  <c r="P401" i="82"/>
  <c r="V401" i="82" s="1"/>
  <c r="P393" i="82"/>
  <c r="V393" i="82" s="1"/>
  <c r="P385" i="82"/>
  <c r="V385" i="82" s="1"/>
  <c r="P377" i="82"/>
  <c r="V377" i="82" s="1"/>
  <c r="P369" i="82"/>
  <c r="V369" i="82" s="1"/>
  <c r="P361" i="82"/>
  <c r="V361" i="82" s="1"/>
  <c r="P353" i="82"/>
  <c r="V353" i="82" s="1"/>
  <c r="P345" i="82"/>
  <c r="V345" i="82" s="1"/>
  <c r="P337" i="82"/>
  <c r="V337" i="82" s="1"/>
  <c r="P329" i="82"/>
  <c r="V329" i="82" s="1"/>
  <c r="P319" i="82"/>
  <c r="V319" i="82" s="1"/>
  <c r="P432" i="82"/>
  <c r="V432" i="82" s="1"/>
  <c r="P424" i="82"/>
  <c r="V424" i="82" s="1"/>
  <c r="P416" i="82"/>
  <c r="V416" i="82" s="1"/>
  <c r="P408" i="82"/>
  <c r="V408" i="82" s="1"/>
  <c r="P400" i="82"/>
  <c r="V400" i="82" s="1"/>
  <c r="P392" i="82"/>
  <c r="V392" i="82" s="1"/>
  <c r="P384" i="82"/>
  <c r="V384" i="82" s="1"/>
  <c r="P376" i="82"/>
  <c r="V376" i="82" s="1"/>
  <c r="P368" i="82"/>
  <c r="V368" i="82" s="1"/>
  <c r="P360" i="82"/>
  <c r="V360" i="82" s="1"/>
  <c r="P352" i="82"/>
  <c r="V352" i="82" s="1"/>
  <c r="P344" i="82"/>
  <c r="V344" i="82" s="1"/>
  <c r="P336" i="82"/>
  <c r="V336" i="82" s="1"/>
  <c r="P328" i="82"/>
  <c r="V328" i="82" s="1"/>
  <c r="P317" i="82"/>
  <c r="V317" i="82" s="1"/>
  <c r="P307" i="82"/>
  <c r="V307" i="82" s="1"/>
  <c r="P299" i="82"/>
  <c r="V299" i="82" s="1"/>
  <c r="P291" i="82"/>
  <c r="V291" i="82" s="1"/>
  <c r="P283" i="82"/>
  <c r="V283" i="82" s="1"/>
  <c r="P275" i="82"/>
  <c r="V275" i="82" s="1"/>
  <c r="P267" i="82"/>
  <c r="V267" i="82" s="1"/>
  <c r="P259" i="82"/>
  <c r="V259" i="82" s="1"/>
  <c r="P251" i="82"/>
  <c r="V251" i="82" s="1"/>
  <c r="P242" i="82"/>
  <c r="V242" i="82" s="1"/>
  <c r="P234" i="82"/>
  <c r="V234" i="82" s="1"/>
  <c r="P226" i="82"/>
  <c r="V226" i="82" s="1"/>
  <c r="P218" i="82"/>
  <c r="V218" i="82" s="1"/>
  <c r="P210" i="82"/>
  <c r="V210" i="82" s="1"/>
  <c r="P202" i="82"/>
  <c r="V202" i="82" s="1"/>
  <c r="P194" i="82"/>
  <c r="V194" i="82" s="1"/>
  <c r="P186" i="82"/>
  <c r="V186" i="82" s="1"/>
  <c r="P178" i="82"/>
  <c r="V178" i="82" s="1"/>
  <c r="P170" i="82"/>
  <c r="V170" i="82" s="1"/>
  <c r="P162" i="82"/>
  <c r="V162" i="82" s="1"/>
  <c r="P154" i="82"/>
  <c r="V154" i="82" s="1"/>
  <c r="P146" i="82"/>
  <c r="V146" i="82" s="1"/>
  <c r="P138" i="82"/>
  <c r="V138" i="82" s="1"/>
  <c r="P130" i="82"/>
  <c r="V130" i="82" s="1"/>
  <c r="P122" i="82"/>
  <c r="V122" i="82" s="1"/>
  <c r="P114" i="82"/>
  <c r="V114" i="82" s="1"/>
  <c r="P106" i="82"/>
  <c r="V106" i="82" s="1"/>
  <c r="P98" i="82"/>
  <c r="V98" i="82" s="1"/>
  <c r="P43" i="82"/>
  <c r="V43" i="82" s="1"/>
  <c r="P35" i="82"/>
  <c r="V35" i="82" s="1"/>
  <c r="P27" i="82"/>
  <c r="V27" i="82" s="1"/>
  <c r="P19" i="82"/>
  <c r="V19" i="82" s="1"/>
  <c r="P318" i="82"/>
  <c r="V318" i="82" s="1"/>
  <c r="P310" i="82"/>
  <c r="V310" i="82" s="1"/>
  <c r="P302" i="82"/>
  <c r="V302" i="82" s="1"/>
  <c r="P294" i="82"/>
  <c r="V294" i="82" s="1"/>
  <c r="P286" i="82"/>
  <c r="V286" i="82" s="1"/>
  <c r="P278" i="82"/>
  <c r="V278" i="82" s="1"/>
  <c r="P270" i="82"/>
  <c r="V270" i="82" s="1"/>
  <c r="P262" i="82"/>
  <c r="V262" i="82" s="1"/>
  <c r="P254" i="82"/>
  <c r="V254" i="82" s="1"/>
  <c r="P247" i="82"/>
  <c r="V247" i="82" s="1"/>
  <c r="P239" i="82"/>
  <c r="V239" i="82" s="1"/>
  <c r="P231" i="82"/>
  <c r="V231" i="82" s="1"/>
  <c r="P223" i="82"/>
  <c r="V223" i="82" s="1"/>
  <c r="P215" i="82"/>
  <c r="V215" i="82" s="1"/>
  <c r="P207" i="82"/>
  <c r="V207" i="82" s="1"/>
  <c r="P199" i="82"/>
  <c r="V199" i="82" s="1"/>
  <c r="P191" i="82"/>
  <c r="V191" i="82" s="1"/>
  <c r="P183" i="82"/>
  <c r="V183" i="82" s="1"/>
  <c r="P175" i="82"/>
  <c r="V175" i="82" s="1"/>
  <c r="P167" i="82"/>
  <c r="V167" i="82" s="1"/>
  <c r="P159" i="82"/>
  <c r="V159" i="82" s="1"/>
  <c r="P151" i="82"/>
  <c r="V151" i="82" s="1"/>
  <c r="P143" i="82"/>
  <c r="V143" i="82" s="1"/>
  <c r="P135" i="82"/>
  <c r="V135" i="82" s="1"/>
  <c r="P127" i="82"/>
  <c r="V127" i="82" s="1"/>
  <c r="P119" i="82"/>
  <c r="V119" i="82" s="1"/>
  <c r="P111" i="82"/>
  <c r="V111" i="82" s="1"/>
  <c r="P103" i="82"/>
  <c r="V103" i="82" s="1"/>
  <c r="P95" i="82"/>
  <c r="V95" i="82" s="1"/>
  <c r="P32" i="82"/>
  <c r="V32" i="82" s="1"/>
  <c r="P77" i="82"/>
  <c r="V77" i="82" s="1"/>
  <c r="P53" i="82"/>
  <c r="V53" i="82" s="1"/>
  <c r="P81" i="82"/>
  <c r="V81" i="82" s="1"/>
  <c r="P65" i="82"/>
  <c r="V65" i="82" s="1"/>
  <c r="P48" i="82"/>
  <c r="V48" i="82" s="1"/>
  <c r="P78" i="82"/>
  <c r="V78" i="82" s="1"/>
  <c r="P62" i="82"/>
  <c r="V62" i="82" s="1"/>
  <c r="P50" i="82"/>
  <c r="V50" i="82" s="1"/>
  <c r="P431" i="82"/>
  <c r="V431" i="82" s="1"/>
  <c r="P423" i="82"/>
  <c r="V423" i="82" s="1"/>
  <c r="P415" i="82"/>
  <c r="V415" i="82" s="1"/>
  <c r="P407" i="82"/>
  <c r="V407" i="82" s="1"/>
  <c r="P399" i="82"/>
  <c r="V399" i="82" s="1"/>
  <c r="P391" i="82"/>
  <c r="V391" i="82" s="1"/>
  <c r="P383" i="82"/>
  <c r="V383" i="82" s="1"/>
  <c r="P375" i="82"/>
  <c r="V375" i="82" s="1"/>
  <c r="P367" i="82"/>
  <c r="V367" i="82" s="1"/>
  <c r="P359" i="82"/>
  <c r="V359" i="82" s="1"/>
  <c r="P351" i="82"/>
  <c r="V351" i="82" s="1"/>
  <c r="P343" i="82"/>
  <c r="V343" i="82" s="1"/>
  <c r="P335" i="82"/>
  <c r="V335" i="82" s="1"/>
  <c r="P327" i="82"/>
  <c r="V327" i="82" s="1"/>
  <c r="P315" i="82"/>
  <c r="V315" i="82" s="1"/>
  <c r="P430" i="82"/>
  <c r="V430" i="82" s="1"/>
  <c r="P422" i="82"/>
  <c r="V422" i="82" s="1"/>
  <c r="P414" i="82"/>
  <c r="V414" i="82" s="1"/>
  <c r="P406" i="82"/>
  <c r="V406" i="82" s="1"/>
  <c r="P398" i="82"/>
  <c r="V398" i="82" s="1"/>
  <c r="P390" i="82"/>
  <c r="V390" i="82" s="1"/>
  <c r="P382" i="82"/>
  <c r="V382" i="82" s="1"/>
  <c r="P374" i="82"/>
  <c r="V374" i="82" s="1"/>
  <c r="P366" i="82"/>
  <c r="V366" i="82" s="1"/>
  <c r="P358" i="82"/>
  <c r="V358" i="82" s="1"/>
  <c r="P350" i="82"/>
  <c r="V350" i="82" s="1"/>
  <c r="P342" i="82"/>
  <c r="V342" i="82" s="1"/>
  <c r="P334" i="82"/>
  <c r="V334" i="82" s="1"/>
  <c r="P326" i="82"/>
  <c r="V326" i="82" s="1"/>
  <c r="P313" i="82"/>
  <c r="V313" i="82" s="1"/>
  <c r="P305" i="82"/>
  <c r="V305" i="82" s="1"/>
  <c r="P297" i="82"/>
  <c r="V297" i="82" s="1"/>
  <c r="P289" i="82"/>
  <c r="V289" i="82" s="1"/>
  <c r="P281" i="82"/>
  <c r="V281" i="82" s="1"/>
  <c r="P273" i="82"/>
  <c r="V273" i="82" s="1"/>
  <c r="P265" i="82"/>
  <c r="V265" i="82" s="1"/>
  <c r="P257" i="82"/>
  <c r="V257" i="82" s="1"/>
  <c r="P249" i="82"/>
  <c r="V249" i="82" s="1"/>
  <c r="P240" i="82"/>
  <c r="V240" i="82" s="1"/>
  <c r="P232" i="82"/>
  <c r="V232" i="82" s="1"/>
  <c r="P224" i="82"/>
  <c r="V224" i="82" s="1"/>
  <c r="P216" i="82"/>
  <c r="V216" i="82" s="1"/>
  <c r="P208" i="82"/>
  <c r="V208" i="82" s="1"/>
  <c r="P200" i="82"/>
  <c r="V200" i="82" s="1"/>
  <c r="P192" i="82"/>
  <c r="V192" i="82" s="1"/>
  <c r="P184" i="82"/>
  <c r="V184" i="82" s="1"/>
  <c r="P176" i="82"/>
  <c r="V176" i="82" s="1"/>
  <c r="P168" i="82"/>
  <c r="V168" i="82" s="1"/>
  <c r="P160" i="82"/>
  <c r="V160" i="82" s="1"/>
  <c r="P152" i="82"/>
  <c r="V152" i="82" s="1"/>
  <c r="P144" i="82"/>
  <c r="V144" i="82" s="1"/>
  <c r="P136" i="82"/>
  <c r="V136" i="82" s="1"/>
  <c r="P128" i="82"/>
  <c r="V128" i="82" s="1"/>
  <c r="P120" i="82"/>
  <c r="V120" i="82" s="1"/>
  <c r="P112" i="82"/>
  <c r="V112" i="82" s="1"/>
  <c r="P104" i="82"/>
  <c r="V104" i="82" s="1"/>
  <c r="P96" i="82"/>
  <c r="V96" i="82" s="1"/>
  <c r="P41" i="82"/>
  <c r="V41" i="82" s="1"/>
  <c r="P33" i="82"/>
  <c r="V33" i="82" s="1"/>
  <c r="P25" i="82"/>
  <c r="V25" i="82" s="1"/>
  <c r="P17" i="82"/>
  <c r="V17" i="82" s="1"/>
  <c r="P316" i="82"/>
  <c r="V316" i="82" s="1"/>
  <c r="P308" i="82"/>
  <c r="V308" i="82" s="1"/>
  <c r="P300" i="82"/>
  <c r="V300" i="82" s="1"/>
  <c r="P292" i="82"/>
  <c r="V292" i="82" s="1"/>
  <c r="P284" i="82"/>
  <c r="V284" i="82" s="1"/>
  <c r="P276" i="82"/>
  <c r="V276" i="82" s="1"/>
  <c r="P268" i="82"/>
  <c r="V268" i="82" s="1"/>
  <c r="P260" i="82"/>
  <c r="V260" i="82" s="1"/>
  <c r="P252" i="82"/>
  <c r="V252" i="82" s="1"/>
  <c r="P245" i="82"/>
  <c r="V245" i="82" s="1"/>
  <c r="P237" i="82"/>
  <c r="V237" i="82" s="1"/>
  <c r="P229" i="82"/>
  <c r="V229" i="82" s="1"/>
  <c r="P221" i="82"/>
  <c r="V221" i="82" s="1"/>
  <c r="P213" i="82"/>
  <c r="V213" i="82" s="1"/>
  <c r="P205" i="82"/>
  <c r="V205" i="82" s="1"/>
  <c r="P197" i="82"/>
  <c r="V197" i="82" s="1"/>
  <c r="P189" i="82"/>
  <c r="V189" i="82" s="1"/>
  <c r="P181" i="82"/>
  <c r="V181" i="82" s="1"/>
  <c r="P173" i="82"/>
  <c r="V173" i="82" s="1"/>
  <c r="P165" i="82"/>
  <c r="V165" i="82" s="1"/>
  <c r="P157" i="82"/>
  <c r="V157" i="82" s="1"/>
  <c r="P149" i="82"/>
  <c r="V149" i="82" s="1"/>
  <c r="P141" i="82"/>
  <c r="V141" i="82" s="1"/>
  <c r="P133" i="82"/>
  <c r="V133" i="82" s="1"/>
  <c r="P125" i="82"/>
  <c r="V125" i="82" s="1"/>
  <c r="P117" i="82"/>
  <c r="V117" i="82" s="1"/>
  <c r="P109" i="82"/>
  <c r="V109" i="82" s="1"/>
  <c r="P101" i="82"/>
  <c r="V101" i="82" s="1"/>
  <c r="P93" i="82"/>
  <c r="V93" i="82" s="1"/>
  <c r="P38" i="82"/>
  <c r="V38" i="82" s="1"/>
  <c r="P30" i="82"/>
  <c r="V30" i="82" s="1"/>
  <c r="P22" i="82"/>
  <c r="V22" i="82" s="1"/>
  <c r="P85" i="82"/>
  <c r="V85" i="82" s="1"/>
  <c r="P90" i="82"/>
  <c r="V90" i="82" s="1"/>
  <c r="P74" i="82"/>
  <c r="V74" i="82" s="1"/>
  <c r="P58" i="82"/>
  <c r="V58" i="82" s="1"/>
  <c r="P437" i="82"/>
  <c r="V437" i="82" s="1"/>
  <c r="P429" i="82"/>
  <c r="V429" i="82" s="1"/>
  <c r="P421" i="82"/>
  <c r="V421" i="82" s="1"/>
  <c r="P413" i="82"/>
  <c r="V413" i="82" s="1"/>
  <c r="P405" i="82"/>
  <c r="V405" i="82" s="1"/>
  <c r="P397" i="82"/>
  <c r="V397" i="82" s="1"/>
  <c r="P389" i="82"/>
  <c r="V389" i="82" s="1"/>
  <c r="P381" i="82"/>
  <c r="V381" i="82" s="1"/>
  <c r="P373" i="82"/>
  <c r="V373" i="82" s="1"/>
  <c r="P365" i="82"/>
  <c r="V365" i="82" s="1"/>
  <c r="P357" i="82"/>
  <c r="V357" i="82" s="1"/>
  <c r="P349" i="82"/>
  <c r="V349" i="82" s="1"/>
  <c r="P341" i="82"/>
  <c r="V341" i="82" s="1"/>
  <c r="P333" i="82"/>
  <c r="V333" i="82" s="1"/>
  <c r="P325" i="82"/>
  <c r="V325" i="82" s="1"/>
  <c r="P436" i="82"/>
  <c r="V436" i="82" s="1"/>
  <c r="P428" i="82"/>
  <c r="V428" i="82" s="1"/>
  <c r="P420" i="82"/>
  <c r="V420" i="82" s="1"/>
  <c r="P412" i="82"/>
  <c r="V412" i="82" s="1"/>
  <c r="P404" i="82"/>
  <c r="V404" i="82" s="1"/>
  <c r="P396" i="82"/>
  <c r="V396" i="82" s="1"/>
  <c r="P388" i="82"/>
  <c r="V388" i="82" s="1"/>
  <c r="P380" i="82"/>
  <c r="V380" i="82" s="1"/>
  <c r="P372" i="82"/>
  <c r="V372" i="82" s="1"/>
  <c r="P364" i="82"/>
  <c r="V364" i="82" s="1"/>
  <c r="P356" i="82"/>
  <c r="V356" i="82" s="1"/>
  <c r="P348" i="82"/>
  <c r="V348" i="82" s="1"/>
  <c r="P340" i="82"/>
  <c r="V340" i="82" s="1"/>
  <c r="P332" i="82"/>
  <c r="V332" i="82" s="1"/>
  <c r="P324" i="82"/>
  <c r="V324" i="82" s="1"/>
  <c r="P311" i="82"/>
  <c r="V311" i="82" s="1"/>
  <c r="P303" i="82"/>
  <c r="V303" i="82" s="1"/>
  <c r="P295" i="82"/>
  <c r="V295" i="82" s="1"/>
  <c r="P287" i="82"/>
  <c r="V287" i="82" s="1"/>
  <c r="P279" i="82"/>
  <c r="V279" i="82" s="1"/>
  <c r="P271" i="82"/>
  <c r="V271" i="82" s="1"/>
  <c r="P263" i="82"/>
  <c r="V263" i="82" s="1"/>
  <c r="P255" i="82"/>
  <c r="V255" i="82" s="1"/>
  <c r="P246" i="82"/>
  <c r="V246" i="82" s="1"/>
  <c r="P238" i="82"/>
  <c r="V238" i="82" s="1"/>
  <c r="P230" i="82"/>
  <c r="V230" i="82" s="1"/>
  <c r="P222" i="82"/>
  <c r="V222" i="82" s="1"/>
  <c r="P214" i="82"/>
  <c r="V214" i="82" s="1"/>
  <c r="P206" i="82"/>
  <c r="V206" i="82" s="1"/>
  <c r="P198" i="82"/>
  <c r="V198" i="82" s="1"/>
  <c r="P190" i="82"/>
  <c r="V190" i="82" s="1"/>
  <c r="P182" i="82"/>
  <c r="V182" i="82" s="1"/>
  <c r="P174" i="82"/>
  <c r="V174" i="82" s="1"/>
  <c r="P166" i="82"/>
  <c r="V166" i="82" s="1"/>
  <c r="P158" i="82"/>
  <c r="V158" i="82" s="1"/>
  <c r="P150" i="82"/>
  <c r="V150" i="82" s="1"/>
  <c r="P142" i="82"/>
  <c r="V142" i="82" s="1"/>
  <c r="P134" i="82"/>
  <c r="V134" i="82" s="1"/>
  <c r="P126" i="82"/>
  <c r="V126" i="82" s="1"/>
  <c r="P118" i="82"/>
  <c r="V118" i="82" s="1"/>
  <c r="P110" i="82"/>
  <c r="V110" i="82" s="1"/>
  <c r="P102" i="82"/>
  <c r="V102" i="82" s="1"/>
  <c r="P94" i="82"/>
  <c r="V94" i="82" s="1"/>
  <c r="P39" i="82"/>
  <c r="V39" i="82" s="1"/>
  <c r="P31" i="82"/>
  <c r="V31" i="82" s="1"/>
  <c r="P23" i="82"/>
  <c r="V23" i="82" s="1"/>
  <c r="P322" i="82"/>
  <c r="V322" i="82" s="1"/>
  <c r="P314" i="82"/>
  <c r="V314" i="82" s="1"/>
  <c r="P306" i="82"/>
  <c r="V306" i="82" s="1"/>
  <c r="P298" i="82"/>
  <c r="V298" i="82" s="1"/>
  <c r="P290" i="82"/>
  <c r="V290" i="82" s="1"/>
  <c r="P282" i="82"/>
  <c r="V282" i="82" s="1"/>
  <c r="P274" i="82"/>
  <c r="V274" i="82" s="1"/>
  <c r="P266" i="82"/>
  <c r="V266" i="82" s="1"/>
  <c r="P258" i="82"/>
  <c r="V258" i="82" s="1"/>
  <c r="P250" i="82"/>
  <c r="V250" i="82" s="1"/>
  <c r="P243" i="82"/>
  <c r="V243" i="82" s="1"/>
  <c r="P235" i="82"/>
  <c r="V235" i="82" s="1"/>
  <c r="P227" i="82"/>
  <c r="V227" i="82" s="1"/>
  <c r="P219" i="82"/>
  <c r="V219" i="82" s="1"/>
  <c r="P211" i="82"/>
  <c r="V211" i="82" s="1"/>
  <c r="P203" i="82"/>
  <c r="V203" i="82" s="1"/>
  <c r="P195" i="82"/>
  <c r="V195" i="82" s="1"/>
  <c r="P187" i="82"/>
  <c r="V187" i="82" s="1"/>
  <c r="P179" i="82"/>
  <c r="V179" i="82" s="1"/>
  <c r="P171" i="82"/>
  <c r="V171" i="82" s="1"/>
  <c r="P163" i="82"/>
  <c r="V163" i="82" s="1"/>
  <c r="P155" i="82"/>
  <c r="V155" i="82" s="1"/>
  <c r="P147" i="82"/>
  <c r="V147" i="82" s="1"/>
  <c r="P139" i="82"/>
  <c r="V139" i="82" s="1"/>
  <c r="P131" i="82"/>
  <c r="V131" i="82" s="1"/>
  <c r="P123" i="82"/>
  <c r="V123" i="82" s="1"/>
  <c r="P115" i="82"/>
  <c r="V115" i="82" s="1"/>
  <c r="P107" i="82"/>
  <c r="V107" i="82" s="1"/>
  <c r="P99" i="82"/>
  <c r="V99" i="82" s="1"/>
  <c r="P44" i="82"/>
  <c r="V44" i="82" s="1"/>
  <c r="P36" i="82"/>
  <c r="V36" i="82" s="1"/>
  <c r="P28" i="82"/>
  <c r="V28" i="82" s="1"/>
  <c r="P20" i="82"/>
  <c r="V20" i="82" s="1"/>
  <c r="P16" i="82"/>
  <c r="P40" i="82"/>
  <c r="V40" i="82" s="1"/>
  <c r="P24" i="82"/>
  <c r="V24" i="82" s="1"/>
  <c r="L61" i="59"/>
  <c r="L70" i="59" s="1"/>
  <c r="L72" i="59" s="1"/>
  <c r="K51" i="22"/>
  <c r="H84" i="80" l="1"/>
  <c r="J122" i="84"/>
  <c r="K126" i="84" s="1"/>
  <c r="J37" i="86"/>
  <c r="J40" i="86" s="1"/>
  <c r="L53" i="86"/>
  <c r="K12" i="86"/>
  <c r="L54" i="86"/>
  <c r="K14" i="86"/>
  <c r="L52" i="86"/>
  <c r="K11" i="86"/>
  <c r="K15" i="86"/>
  <c r="K10" i="86"/>
  <c r="K51" i="86"/>
  <c r="K54" i="86"/>
  <c r="K53" i="86"/>
  <c r="K48" i="84"/>
  <c r="K53" i="84"/>
  <c r="K52" i="84"/>
  <c r="K54" i="84"/>
  <c r="K55" i="84"/>
  <c r="K51" i="84"/>
  <c r="K50" i="84"/>
  <c r="P61" i="59"/>
  <c r="F57" i="93"/>
  <c r="F32" i="32"/>
  <c r="T17" i="59"/>
  <c r="W24" i="59" s="1"/>
  <c r="T24" i="59"/>
  <c r="R20" i="59"/>
  <c r="T20" i="59" s="1"/>
  <c r="T61" i="59" s="1"/>
  <c r="T63" i="59" s="1"/>
  <c r="T64" i="59" s="1"/>
  <c r="T67" i="59" s="1"/>
  <c r="K54" i="22"/>
  <c r="I11" i="84"/>
  <c r="M32" i="32"/>
  <c r="M51" i="32" s="1"/>
  <c r="G53" i="57"/>
  <c r="V16" i="82"/>
  <c r="V472" i="82" s="1"/>
  <c r="P472" i="82"/>
  <c r="M56" i="32" l="1"/>
  <c r="K125" i="84"/>
  <c r="K124" i="84"/>
  <c r="F53" i="57"/>
  <c r="K55" i="86"/>
  <c r="J53" i="57"/>
  <c r="K56" i="84"/>
  <c r="R61" i="59"/>
  <c r="V473" i="82"/>
  <c r="P474" i="82"/>
  <c r="P476" i="82" s="1"/>
  <c r="U12" i="82"/>
  <c r="U13" i="82" s="1"/>
  <c r="M53" i="57" l="1"/>
  <c r="M55" i="57" s="1"/>
  <c r="F45" i="80"/>
  <c r="F47" i="80" s="1"/>
  <c r="F85" i="80" l="1"/>
  <c r="J87" i="84"/>
  <c r="J96" i="84" s="1"/>
  <c r="H45" i="80"/>
  <c r="E62" i="65"/>
  <c r="H47" i="80" l="1"/>
  <c r="H85" i="80" s="1"/>
  <c r="J97" i="84" l="1"/>
  <c r="J98" i="84" s="1"/>
  <c r="J11" i="84"/>
  <c r="J14" i="84" s="1"/>
  <c r="F51" i="32" l="1"/>
  <c r="F56" i="32" s="1"/>
</calcChain>
</file>

<file path=xl/sharedStrings.xml><?xml version="1.0" encoding="utf-8"?>
<sst xmlns="http://schemas.openxmlformats.org/spreadsheetml/2006/main" count="2555" uniqueCount="1006">
  <si>
    <t>GOBIERNO DEL ESTADO DE TLAXCALA</t>
  </si>
  <si>
    <t>(PESOS)</t>
  </si>
  <si>
    <t>PARTICIPACIONES</t>
  </si>
  <si>
    <t>RAMO XXXIII</t>
  </si>
  <si>
    <t xml:space="preserve"> </t>
  </si>
  <si>
    <t>IMPORTE</t>
  </si>
  <si>
    <t>CONCEPTO</t>
  </si>
  <si>
    <t xml:space="preserve">GOBIERNO DEL ESTADO DE TLAXCALA  </t>
  </si>
  <si>
    <t>( PESOS )</t>
  </si>
  <si>
    <t>DERECHOS</t>
  </si>
  <si>
    <t>PRODUCTOS</t>
  </si>
  <si>
    <t>APROVECHAMIENTOS</t>
  </si>
  <si>
    <t xml:space="preserve">                    TOTAL INGRESOS</t>
  </si>
  <si>
    <t>SERVICIOS PERSONALES</t>
  </si>
  <si>
    <t>GASTO OPERATIVO</t>
  </si>
  <si>
    <t xml:space="preserve">                    TOTAL EGRESOS</t>
  </si>
  <si>
    <t xml:space="preserve">ESTADO  DE ORIGEN Y APLICACIÓN DE RECURSOS POR EL PERIODO COMPRENDIDO </t>
  </si>
  <si>
    <t>ORIGEN</t>
  </si>
  <si>
    <t>APLICACIÓN</t>
  </si>
  <si>
    <t>MATERIALES Y SUMINISTROS</t>
  </si>
  <si>
    <t>SERVICIOS GENERALES</t>
  </si>
  <si>
    <t>TOTAL EGRESOS</t>
  </si>
  <si>
    <t>OTRAS APLICACIONES</t>
  </si>
  <si>
    <t>TOTAL INGRESOS</t>
  </si>
  <si>
    <t>OTROS ORÍGENES</t>
  </si>
  <si>
    <t>TOTAL ORIGENES</t>
  </si>
  <si>
    <t>TOTAL APLICACIONES</t>
  </si>
  <si>
    <t>TOTAL GENERAL</t>
  </si>
  <si>
    <t xml:space="preserve">          OBRA PUBLICA</t>
  </si>
  <si>
    <t xml:space="preserve">          BIENES MUEBLES E INMUEBLES</t>
  </si>
  <si>
    <t xml:space="preserve">     INVERSION PUBLICA</t>
  </si>
  <si>
    <t xml:space="preserve">     TRANSFERENCIAS</t>
  </si>
  <si>
    <t xml:space="preserve">          SERVICIOS GENERALES</t>
  </si>
  <si>
    <t xml:space="preserve">          MATERIALES Y SUMINISTROS</t>
  </si>
  <si>
    <t xml:space="preserve">     GASTO CORRIENTE</t>
  </si>
  <si>
    <t xml:space="preserve">     PROPIOS</t>
  </si>
  <si>
    <t>CONVENIOS</t>
  </si>
  <si>
    <t xml:space="preserve">     DERIVADOS DE TRANSFERENCIAS FEDERALES</t>
  </si>
  <si>
    <t xml:space="preserve">     DERIVADOS DE TRANFERENCIAS ESTATALES</t>
  </si>
  <si>
    <t xml:space="preserve">          INGRESOS</t>
  </si>
  <si>
    <t xml:space="preserve">          GASTO OPERATIVO</t>
  </si>
  <si>
    <t xml:space="preserve">          SERVICIOS PERSONALES</t>
  </si>
  <si>
    <t>NO. DE CTA.</t>
  </si>
  <si>
    <t>DESCRIPCION</t>
  </si>
  <si>
    <t>ESTADO DEL EJERCICIO PRESUPUESTARIO DE INGRESOS</t>
  </si>
  <si>
    <t>NO DE LA CUENTA</t>
  </si>
  <si>
    <t>NOMBRE DE LA CUENTA</t>
  </si>
  <si>
    <t>RELACION DE BANCOS</t>
  </si>
  <si>
    <t>PRONOSTICO ANUAL</t>
  </si>
  <si>
    <t>(A)</t>
  </si>
  <si>
    <t>MODIFICACIONES</t>
  </si>
  <si>
    <t>AUMENTO</t>
  </si>
  <si>
    <t>DISMINUCION</t>
  </si>
  <si>
    <t>(B)</t>
  </si>
  <si>
    <t>(C)</t>
  </si>
  <si>
    <t>PRESUPUESTO MODIFICADO</t>
  </si>
  <si>
    <t>(E )</t>
  </si>
  <si>
    <t>(F)</t>
  </si>
  <si>
    <t>(G)</t>
  </si>
  <si>
    <t>DIFERENCIA</t>
  </si>
  <si>
    <t>H = D-G</t>
  </si>
  <si>
    <t xml:space="preserve">DERECHOS </t>
  </si>
  <si>
    <t>TRANSFERENCIAS ESTATALES</t>
  </si>
  <si>
    <t>TRASFERENCIAS FEDERALES</t>
  </si>
  <si>
    <t>PROPIOS</t>
  </si>
  <si>
    <t>ESTADO DEL EJERCICIO PRESUPUESTARIO DE EGRESOS</t>
  </si>
  <si>
    <t>CAPITULO</t>
  </si>
  <si>
    <t>PRESUPUESTO ANUAL AUTORIZADO</t>
  </si>
  <si>
    <t>EJERCIDO ACUMULADO</t>
  </si>
  <si>
    <t>SALDO POR EJERCER</t>
  </si>
  <si>
    <t>INGRESOS ACUMULADOS</t>
  </si>
  <si>
    <t>1000 SERVICIOS PERSONALES</t>
  </si>
  <si>
    <t>2000 MATERIALES Y SUMINISTROS</t>
  </si>
  <si>
    <t>3000 SERVICIOS GENERALES</t>
  </si>
  <si>
    <t>4000 TRASFERENCIAS</t>
  </si>
  <si>
    <t>D= A+B-C</t>
  </si>
  <si>
    <t>ANALISIS DE MODIFICACION PATRIMONIAL</t>
  </si>
  <si>
    <t>SALDO AL</t>
  </si>
  <si>
    <t>SALDO FINAL</t>
  </si>
  <si>
    <t>RESULTADO DEL EJERCICIO</t>
  </si>
  <si>
    <t>RESULTADO DE EJERCICIOS ANTERIORES</t>
  </si>
  <si>
    <t>ANALISIS DE INGRESOS PROPIOS</t>
  </si>
  <si>
    <t>TOTAL</t>
  </si>
  <si>
    <t>RELACION DE BIENES MUEBLES</t>
  </si>
  <si>
    <t>RELACION DE BIENES INMUEBLES</t>
  </si>
  <si>
    <t>RELACION DE PATRIMONIO</t>
  </si>
  <si>
    <t>BIENES MUEBLES E INMUEBLES</t>
  </si>
  <si>
    <t>TRANSFERENCIAS</t>
  </si>
  <si>
    <t>OBRA PUBLICA</t>
  </si>
  <si>
    <t>RELACION DE ACREEDORES DIVERSOS</t>
  </si>
  <si>
    <t>PRONOSTICO MODIFICADO</t>
  </si>
  <si>
    <t>PLANTILLA DE PERSONAL</t>
  </si>
  <si>
    <t>PUESTO</t>
  </si>
  <si>
    <t>SUELDO BASE MENSUAL</t>
  </si>
  <si>
    <t>TOTAL OTRAS PRESTACIONES</t>
  </si>
  <si>
    <t>INDICE</t>
  </si>
  <si>
    <t>ESTADO DE POSICION FINANCIERA</t>
  </si>
  <si>
    <t>BALANZA DE COMPROBACION</t>
  </si>
  <si>
    <t xml:space="preserve">RELACION DE BIENES MUEBLES </t>
  </si>
  <si>
    <t xml:space="preserve">RELACION DE BIENES INMUEBLES </t>
  </si>
  <si>
    <t>ESTADO PRESUPUESTARIO DE INGRESOS</t>
  </si>
  <si>
    <t>ESTADO PRESUPUESTARIO DE EGRESOS</t>
  </si>
  <si>
    <t xml:space="preserve">          EGRESOS</t>
  </si>
  <si>
    <t>5000 BIENES MUEBLES E INMUEBLES</t>
  </si>
  <si>
    <t>6000 OBRA PUBLICA</t>
  </si>
  <si>
    <t>FONDO DE CONTINGENCIA</t>
  </si>
  <si>
    <t>UNIDAD DE SERVICIOS EDUCATIVOS DEL ESTADO DE TLAXCALA</t>
  </si>
  <si>
    <t>SALDO ANTERIOR</t>
  </si>
  <si>
    <t>MOVIMIENTOS ACUMULADOS</t>
  </si>
  <si>
    <t>SALDO ACTUAL</t>
  </si>
  <si>
    <t>DEBE</t>
  </si>
  <si>
    <t>HABER</t>
  </si>
  <si>
    <t>ACTUAL</t>
  </si>
  <si>
    <t>ACTIVO</t>
  </si>
  <si>
    <t>BANCOS</t>
  </si>
  <si>
    <t>CUENTAS POR COBRAR</t>
  </si>
  <si>
    <t>DEUDORES DIVERSOS</t>
  </si>
  <si>
    <t>ALMACEN GENERAL</t>
  </si>
  <si>
    <t>INVERSIONES</t>
  </si>
  <si>
    <t>ACTIVO CIRCULANTE</t>
  </si>
  <si>
    <t>BIENES MUEBLES</t>
  </si>
  <si>
    <t>BIENES INMUEBLES</t>
  </si>
  <si>
    <t>OBRAS EN PROCESO</t>
  </si>
  <si>
    <t>ACTIVO FIJO</t>
  </si>
  <si>
    <t>DEPOSITO EN GARANTIA</t>
  </si>
  <si>
    <t>ACTIVO DIFERIDO</t>
  </si>
  <si>
    <t>TOTAL ACTIVO</t>
  </si>
  <si>
    <t>PASIVO</t>
  </si>
  <si>
    <t>ACREEDORES DIVERSOS</t>
  </si>
  <si>
    <t>FONDOS AJENOS</t>
  </si>
  <si>
    <t>IMPUESTOS POR PAGAR</t>
  </si>
  <si>
    <t>PRESTACIONES DIVERSAS</t>
  </si>
  <si>
    <t>PASIVO CORTO PLAZO</t>
  </si>
  <si>
    <t>TOTAL PASIVO</t>
  </si>
  <si>
    <t>PARIMONIO</t>
  </si>
  <si>
    <t>RESULTADO DE EJ ANTERIORES</t>
  </si>
  <si>
    <t>TOTAL PATRIMONIO</t>
  </si>
  <si>
    <t>INGRESOS</t>
  </si>
  <si>
    <t xml:space="preserve">PARTICIPACIONES  </t>
  </si>
  <si>
    <t xml:space="preserve">PRODUCTOS </t>
  </si>
  <si>
    <t xml:space="preserve">   EGRESOS</t>
  </si>
  <si>
    <t xml:space="preserve">                                   SALDO DEUDOR</t>
  </si>
  <si>
    <t xml:space="preserve">                                   SALDO ACREEDOR</t>
  </si>
  <si>
    <t xml:space="preserve">          SANTANDER SERFIN S. A. DE C.V.</t>
  </si>
  <si>
    <t>MAQ. HERRAMIENTAS Y ACCESORIOS</t>
  </si>
  <si>
    <t>MOBILIARIO Y EQUIP. DE OFIC.</t>
  </si>
  <si>
    <t>EQUIPO DE TRANSPORTE</t>
  </si>
  <si>
    <t>COLECCIONES CIENT, ARTIS.Y LIT.</t>
  </si>
  <si>
    <t>EQUIPO DE COMPUTO</t>
  </si>
  <si>
    <t>EQUIPO E INSTRUMENTAL MEDICO</t>
  </si>
  <si>
    <t>TERRENOS, EDIFICIOS Y CONSTRUCCIONES</t>
  </si>
  <si>
    <t>INSPECTORA DE JARDINES DE NINOS, FORANEA.</t>
  </si>
  <si>
    <t>INSPECTOR GENERAL DE SECTOR DE JARDIN DE NINOS,FORANEO.</t>
  </si>
  <si>
    <t>DIRECTORA DE JARDIN DE NINOS, FORANEA.</t>
  </si>
  <si>
    <t>DIRECTORA PARA CENTROS DE DESARROLLO INFANTIL.</t>
  </si>
  <si>
    <t>PROFESOR DE ENSENANZAS MUSICALES ELEMENTALES PARA JARDIN  DE NINOS, FORANEO.</t>
  </si>
  <si>
    <t>MAESTRA DE JARDIN DE NINOS, FORANEA.</t>
  </si>
  <si>
    <t>HORAS DE ACOMPANANTE DE MUSICA PARA JARDIN DE NINOS, FORANEO.</t>
  </si>
  <si>
    <t>EDUCADORA PARA CENTROS DE DESARROLLO INFANTIL.</t>
  </si>
  <si>
    <t>MTRA DE JARDIN DE NINOS DE 3/4 DE TIEMPO EN CURSO CON FORTALECIMIENTO CURRICULAR</t>
  </si>
  <si>
    <t>INSPECTOR DE ZONA DE ENSENANZA PRIMARIA, FORANEO.</t>
  </si>
  <si>
    <t>JEFE DE SECTOR DE EDUCACION PRIMARIA, FORANEO.</t>
  </si>
  <si>
    <t>DIRECTOR DE PRIMARIA, FORANEO.</t>
  </si>
  <si>
    <t>DIRECTOR DE INTERNADO DE PRIMARIA, FORANEO.</t>
  </si>
  <si>
    <t>SUBDIRECTOR SECRETARIO DE INTERNADO DE PRIMARIA, FORANEO.</t>
  </si>
  <si>
    <t>MAESTRO DE ADIESTRAMIENTO DE PRIMARIA, FORANEO.</t>
  </si>
  <si>
    <t>MAESTRO DE ENSENANZAS ARTISTICAS DE INTERNADO DE PRIMARIA, FORANEO.</t>
  </si>
  <si>
    <t>MAESTRO DE GRUPO DE PRIMARIA, FORANEO.</t>
  </si>
  <si>
    <t>MAESTRO DE GRUPO DE PRIMARIA DE 3/4 DE TIEMPO EN CURSO CON FORTALECIMIENTO CURRICULAR</t>
  </si>
  <si>
    <t>INSPECTOR GENERAL DE SEGUNDA ENSENANZA, FORANEO.</t>
  </si>
  <si>
    <t>DIRECTOR DE SECUNDARIA FORANEA.</t>
  </si>
  <si>
    <t>SUBDIRECTOR SECRETARIO DE SECUNDARIA FORANEA.</t>
  </si>
  <si>
    <t>JEFE DE ENSENANZA SECUNDARIA, FORANEO.</t>
  </si>
  <si>
    <t>PROFESOR DE ENSENANZAS DE ADIESTRAMIENTO DEORANEA.</t>
  </si>
  <si>
    <t>PROFESOR DE ENSENANZA SECUNDARIA, FORANEA.</t>
  </si>
  <si>
    <t>PROFESOR DE ADIESTRAMIENTO, DE SECUNDARIA, FORANEO.</t>
  </si>
  <si>
    <t>PROFESOR ORIENTADOR DE ENSENANZA SECUNDARIA, FORANEA.</t>
  </si>
  <si>
    <t>HORAS DE ENSENANZA SECUNDARIA PARA FORTALECIMIENTO CURRICULAR</t>
  </si>
  <si>
    <t>INSPECTOR GENERAL DE SECUNDARIAS TECNICAS.</t>
  </si>
  <si>
    <t>DIRECTOR DE ESCUELA SECUNDARIA TECNICA, FORANEO</t>
  </si>
  <si>
    <t>SUBDIRECTOR SECRETARIO DE ESCUELA SECUNDARIA TECNICA, FORANEO</t>
  </si>
  <si>
    <t>JEFE DE ENSENANZA SECUNDARIA TECNICA, FORANEO</t>
  </si>
  <si>
    <t>PROFESOR DE ADIESTRAMIENTO DE SECUNDARIA TECNICA FORANEA.</t>
  </si>
  <si>
    <t>PROFESOR DE ENSENANZA SECUNDARIA TECNICA, FORANEO.</t>
  </si>
  <si>
    <t>PROFESOR DE ADIESTRAMIENTO DE SECUNDARIA TECNICA, FORANEO, TITULADO.</t>
  </si>
  <si>
    <t>HORAS DE ENSENANZA DE SECUNDARIA TECNICA PARA FORTALECIMIENTO CURRICULAR</t>
  </si>
  <si>
    <t>DIRECTOR DE ESCUELA DE EDUCACION ESPECIAL</t>
  </si>
  <si>
    <t>SUPERVISOR DE EDUCACION ESPECIAL FORANEO.</t>
  </si>
  <si>
    <t>PROFESOR ORIENTADOR PROFESIONAL DE ENSENANZA SUPERIOR, FORANEO.</t>
  </si>
  <si>
    <t>MAESTRO DE ESCUELA DE EXPERIMENTACION PEDAGOGICA, FORANEO.</t>
  </si>
  <si>
    <t>MAESTRO DE EDUCACION ESPECIAL</t>
  </si>
  <si>
    <t>MAESTRO PSICOLOGO ORIENTADOR PARA EDUCACION ESPECIAL</t>
  </si>
  <si>
    <t>MAESTRO DE EDUCACION ESPECIAL DE 3/4 DE TIEMPO EN CURSO CON FORTALECIMIENTO CURRICULAR</t>
  </si>
  <si>
    <t>INSPECTOR NORMALISTA DE EDUCACION FISICA,FORANEA</t>
  </si>
  <si>
    <t>PROFESOR NORMALISTA DE EDUCACION FISICA, EN EL DISTRITO FEDERAL.</t>
  </si>
  <si>
    <t>PROFESOR NORMALISTA DE EDUCACION FISICA, FORANEO</t>
  </si>
  <si>
    <t>HORAS DE EDUCACION FISICA PARA FORTALECIMIENTO CURRICULAR</t>
  </si>
  <si>
    <t>PROFESOR DE MATERIAS PROFESIONALES DE ENSENANZA NORMAL DE PRIMARIA, FORANEA</t>
  </si>
  <si>
    <t>PROFESOR DE ADIESTRAMIENTO DE ENSENANZA TECNOLOGICA VOCACIONAL O TECNICA SUPERIOR FORANEO.</t>
  </si>
  <si>
    <t>PROFESOR DE ENSENANZA TECNOLOGICA, FORANEO.</t>
  </si>
  <si>
    <t>PROFESOR DE ENSENANZAS ARTISTICAS PARA POSTPRIMARIAS, FORANEO.</t>
  </si>
  <si>
    <t>PROFESOR DE MATERIAS PROFESIONALES DE NORMAL DE PRIMARIA URBANA FORANEO</t>
  </si>
  <si>
    <t>INSPECTOR DE MISIONES CULTURALES, MAESTRO NORMALISTA URBANO TITULADO, FORANEO</t>
  </si>
  <si>
    <t>JEFE DE MISION CULTURAL, MAESTRO NORMALISTA URBANO TITULADO</t>
  </si>
  <si>
    <t>MAESTRO "A" DE MISION CULTURAL</t>
  </si>
  <si>
    <t>MAESTRO "B" DE MISION CULTURAL</t>
  </si>
  <si>
    <t>MAESTRO "C" DE MISION CULTURAL</t>
  </si>
  <si>
    <t>MAESTRO DE MISIONES CULTURALES DE TIEMPO COMPLETO CON FORTALECIMIENTO CURRICULAR.</t>
  </si>
  <si>
    <t>PROFESOR A DE ADIESTRAMIENTO TECNICO, PARA INDIGENAS, FORANEO.</t>
  </si>
  <si>
    <t>ORIENTADOR DE COMUNIDAD DE PROMOCION INDIGENA, MAESTRO NORMALISTA URBANO TITULADO, FORANEO.</t>
  </si>
  <si>
    <t>ASPIRANTE "B" DE MAESTRO BILINGUE DE EDUCACION INDIGENA</t>
  </si>
  <si>
    <t>DIRECTOR BILINGUE DE EDUCACION PREESCOLAR INDIGENA</t>
  </si>
  <si>
    <t>INSPECTOR BILINGUE DE EDUCACION PRIMARIA INDIGENA</t>
  </si>
  <si>
    <t>DIRECTOR BILINGUE DE EDUCACION PRIMARIA INDIGENA</t>
  </si>
  <si>
    <t>MAESTRO BILINGUE DE EDUCACION PRIMARIA INDIGENA</t>
  </si>
  <si>
    <t>MAESTRO BILINGUE DE EDUCACION PREESCOLAR INDIGENA</t>
  </si>
  <si>
    <t>PROMOTOR BILINGUE DE EDUCACION PREESCOLAR INDIGENA</t>
  </si>
  <si>
    <t>MAESTRO DE CENTRO DE INTEGRACION SOCIAL INDIGENA, NORMALISTA URBANO TITULADO.</t>
  </si>
  <si>
    <t>INSPECTOR DE EDUCACION BASICA PARA ADULTOS FORANEO</t>
  </si>
  <si>
    <t>DIRECTOR DE EDUCACION BASICA PARA ADULTOS NOCTURNA, FORANEO.</t>
  </si>
  <si>
    <t>JEFE DE MISION CULTURAL MOTORIZADA, FORANEO.</t>
  </si>
  <si>
    <t>PROFESOR DE EDUCACION BASICA PARA ADULTOS NOCTURNA, FORANEO.</t>
  </si>
  <si>
    <t>PROFESOR DE EDUCACION BASICA PARA ADULTOS NOCTURNA CON FORTALECIMIENTO CURRICULAR</t>
  </si>
  <si>
    <t>AYUDANTE C DE TALLER DE PRIMARIA, FORANEO</t>
  </si>
  <si>
    <t>AYUDANTE C DE TALLER, FORANEO</t>
  </si>
  <si>
    <t>AYUDANTE D DE TALLER, FORANEO</t>
  </si>
  <si>
    <t>AYUDANTE G DE TALLER, FORANEO</t>
  </si>
  <si>
    <t>PREFECTO A FORANEO</t>
  </si>
  <si>
    <t>PREFECTO B FORANEO</t>
  </si>
  <si>
    <t>PREFECTO C FORANEO</t>
  </si>
  <si>
    <t>HORAS DE AYUDANTE A, FORANEO.</t>
  </si>
  <si>
    <t>AYUDANTE C, FORANEO</t>
  </si>
  <si>
    <t>AYUDANTE E, FORANEO</t>
  </si>
  <si>
    <t>ORIENTADOR PROFESIONAL DE EDUCACION AUDIOVISUAL, FORANEO.</t>
  </si>
  <si>
    <t>JEFE DE SECTOR DE TELESECUNDARIA, FORANEO</t>
  </si>
  <si>
    <t>INSPECTOR DE ZONA DE TELESECUNDARIA FORANEO</t>
  </si>
  <si>
    <t>DIRECTOR, MAESTRO DE TELESECUNDARIA, FORANEO.</t>
  </si>
  <si>
    <t>HORAS DE MAESTRO DE TELESECUNDARIA, FORANEO</t>
  </si>
  <si>
    <t>HORAS DE TELESECUNDARIA PARA FORTALECIMIENTO CURRICULAR</t>
  </si>
  <si>
    <t>PROFESOR DE ENSENANZA SUPERIOR ASOCIADO "A", 1/2 TIEMPO FORANEO.</t>
  </si>
  <si>
    <t>PROFESOR DE ENSENANZA SUPERIOR ASOCIADO "B", 1/2 TIEMPO - FORANEO.</t>
  </si>
  <si>
    <t>PROFESOR DE ENSENANZA SUPERIOR ASOCIADO "A", 3/4 DE TIEMPO FORANEO.</t>
  </si>
  <si>
    <t>PROFESOR DE ENSENANZA SUPERIOR ASOCIADO "B", 3/4 DE TIEMPO - FORANEO.</t>
  </si>
  <si>
    <t>PROFESOR INVESTIGADOR DE ENSENANZA SUPERIOR, ASOCIADO "A", TIEMPO COMPLETO, FORANEO.</t>
  </si>
  <si>
    <t>PROFESOR INVESTIGADOR DE ENSENANZA SUPERIOR, ASOCIADO "B", TIEMPO COMPLETO, FORANEO.</t>
  </si>
  <si>
    <t>PROFESOR INVESTIGADOR DE ENSENANZA SUPERIOR, ASOCIADO "C", TIEMPO COMPLETO, FORANEO.</t>
  </si>
  <si>
    <t>PROFESOR INVESTIGADOR DE ENSENANZA SUPERIOR, TITULAR "A", TIEMPO COMPLETO, FORANEO.</t>
  </si>
  <si>
    <t>PROFESOR INVESTIGADOR DE ENSENANZA SUPERIOR, TITULAR "B", TIEMPO COMPLETO FORANEO</t>
  </si>
  <si>
    <t>PROFESOR INVESTIGADOR DE ENSENANZA SUPERIOR, TITULAR "C", TIEMPO COMPLETO, FORANEO.</t>
  </si>
  <si>
    <t>PROFESOR DE ENSENANZA SUPERIOR ASOCIADO "A", TIEMPO COMPLETO FORANEO.</t>
  </si>
  <si>
    <t>PROFESOR DE ENSENANZA SUPERIOR ASOCIADO "B", TIEMPO COMPLETO - FORANEO.</t>
  </si>
  <si>
    <t>PROFESOR DE ENSENANZA SUPERIOR TITULAR "A", TIEMPO COMPLETO, FORANEO.</t>
  </si>
  <si>
    <t>PROFESOR DE ENSENANZA SUPERIOR ASOCIADO "C" TIEMPO COMPLETO, FORANEO.</t>
  </si>
  <si>
    <t>PROFESOR DE ENSENANZA SUPERIOR TITULAR "C" TIEMPO COMPLETO FORANEO.</t>
  </si>
  <si>
    <t>PROFESOR INVESTIGADOR DE ENSENANZA SUPERIOR, ASIGNATURA "B" FORANEO.</t>
  </si>
  <si>
    <t>PROFESOR INVESTIGADOR DE ENSENANZA SUPERIOR, ASIGNATURA "B" EN EL DISTRITO FEDERAL.</t>
  </si>
  <si>
    <t>PROFESOR DE ENSENANZA SUPERIOR, ASIGNATURA "A" FORANEO.</t>
  </si>
  <si>
    <t>PROFESOR DE ENSENANZA SUPERIOR, ASIGNATURA "B", FORANEO.</t>
  </si>
  <si>
    <t>PROFESOR ASOCIADO "C" (E.S.) DE CAPACI- TACION Y MEJORAMIENTO PROFESIONAL DEL MAGISTERIO, 3/4 DE</t>
  </si>
  <si>
    <t>PROFESOR TITULAR "A" (E.S.) DE CAPACI- TACION Y MEJORAMIENTO PROFESIONAL DEL MAGISTERIO, TIEMPO</t>
  </si>
  <si>
    <t>PROFESOR ASIGNATURA "B" (E.S.) DE CAPA- CITACION Y MEJORAMIENTO PROFESIONAL DEL MAGISTERIO</t>
  </si>
  <si>
    <t>TECNICO DOCENTE ASIGNATURA A</t>
  </si>
  <si>
    <t>PROFESOR DE ASIGNATURA A</t>
  </si>
  <si>
    <t>PROFESOR ASOCIADO "B" (E.S.) TIEMPO COMPLETO</t>
  </si>
  <si>
    <t>PROFESOR ASOCIADO "C" (E.S.) TIEMPO COMPLETO</t>
  </si>
  <si>
    <t>PROFESOR TITULAR "A" (E.S.) TIEMPO COMPLETO</t>
  </si>
  <si>
    <t>PROFESOR TITULAR "B" (E.S.) TIEMPO COMPLETO</t>
  </si>
  <si>
    <t>PROFESOR TITULAR "C" (E.S.)TIEMPO COMPLETO</t>
  </si>
  <si>
    <t>PROFESOR TECNICO AUXILIAR "B" (E.S.) TIEMPO COMPLETO</t>
  </si>
  <si>
    <t>PROFESOR ASIGNATURA "A" (E.S.)</t>
  </si>
  <si>
    <t>PROFESOR ASIGNATURA "B" (E.S.)</t>
  </si>
  <si>
    <t>AUXILIAR ADMINISTRATIVO</t>
  </si>
  <si>
    <t>ADMINISTRATIVO ESPECIALIZADO</t>
  </si>
  <si>
    <t>AUXILIAR DE ADMINISTRADOR</t>
  </si>
  <si>
    <t>ANALISTA ADMINISTRATIVO</t>
  </si>
  <si>
    <t>JEFE DE OFICINA</t>
  </si>
  <si>
    <t>AYUDANTE ADMINISTRATIVO</t>
  </si>
  <si>
    <t>PROMOTOR</t>
  </si>
  <si>
    <t>SECRETARIA DE APOYO</t>
  </si>
  <si>
    <t>OPERADOR DE EQUIPO DE COMUNICACIONES</t>
  </si>
  <si>
    <t>MEDICO</t>
  </si>
  <si>
    <t>PSICOLOGO</t>
  </si>
  <si>
    <t>AUXILIAR DE SERVICIOS Y MANTO.</t>
  </si>
  <si>
    <t>OFICIAL DE SERVICIOS Y MANTENIMIENTO</t>
  </si>
  <si>
    <t>ASISTENTE DE SERVICIOS EN PLANTEL</t>
  </si>
  <si>
    <t>ASISTENTE DE SERVICIOS Y MANTENIMIENTO</t>
  </si>
  <si>
    <t>AUXILIAR DE SERVICIOS Y MANTENIMIENTO EN PLANTEL</t>
  </si>
  <si>
    <t>COCINERA</t>
  </si>
  <si>
    <t>ECONOMO (PARA USO EXCLUSIVO DE PLANTELES)</t>
  </si>
  <si>
    <t>ASISTENTE DE COCINA</t>
  </si>
  <si>
    <t>CHOFER</t>
  </si>
  <si>
    <t>TECNICO MEDIO EN IMPRENTA</t>
  </si>
  <si>
    <t>INTENDENTE</t>
  </si>
  <si>
    <t>OFICIAL DE MANTENIMIENTO MECANICO</t>
  </si>
  <si>
    <t>TECNICO MEDIO</t>
  </si>
  <si>
    <t>ESPECIALISTA TECNICO</t>
  </si>
  <si>
    <t>MUSICO</t>
  </si>
  <si>
    <t>TECNICO BIBLIOTECARIO</t>
  </si>
  <si>
    <t>ASISTENTE BIBLIOTECARIO</t>
  </si>
  <si>
    <t>COORDINADOR DE TECNICOS EN COMPUTACION</t>
  </si>
  <si>
    <t>DIBUJANTE</t>
  </si>
  <si>
    <t>ENFERMERA</t>
  </si>
  <si>
    <t>ENFERMERA ESPECIALIZADA</t>
  </si>
  <si>
    <t>FOTOGRAFO</t>
  </si>
  <si>
    <t>PUERICULTOR (PARA USO EXCLUSIVO DE PLANTELES)</t>
  </si>
  <si>
    <t>NINERA ESPECIALIZADA</t>
  </si>
  <si>
    <t>ASISTENTE DE LABORATORIO</t>
  </si>
  <si>
    <t>ASISTENTE TECNICO EN RADIO Y T.V.</t>
  </si>
  <si>
    <t>TERAPISTA (PARA USO EXCLUSIVO DE PLANTELES)</t>
  </si>
  <si>
    <t>TRABAJADOR SOCIAL PROFESIONAL</t>
  </si>
  <si>
    <t>TRABAJADOR SOCIAL ESPECIALIZADO</t>
  </si>
  <si>
    <t>TRABAJADORA SOCIAL</t>
  </si>
  <si>
    <t>AYUDANTE DE TRABAJO SOCIAL</t>
  </si>
  <si>
    <t>DIRECTOR DE AREA</t>
  </si>
  <si>
    <t>SUBDIRECTOR DE AREA</t>
  </si>
  <si>
    <t>JEFE DE DEPARTAMENTO</t>
  </si>
  <si>
    <t>COORDINADOR GENERAL</t>
  </si>
  <si>
    <t>CHOFER DE SPS</t>
  </si>
  <si>
    <t>SECRETARIA EJECUTIVA "D"</t>
  </si>
  <si>
    <t>SECRETARIA EJECUTIVA "C"</t>
  </si>
  <si>
    <t>SECRETARIA EJECUTIVA "B"</t>
  </si>
  <si>
    <t>SECRETARIA EJECUTIVA "A"</t>
  </si>
  <si>
    <t>RESPONSABLE DE FONDOS Y VALORES</t>
  </si>
  <si>
    <t>SUPERVISOR</t>
  </si>
  <si>
    <t>ANALISTA PROGRAMADOR "B"</t>
  </si>
  <si>
    <t>PROGRAMADOR ESPECIALIZADO</t>
  </si>
  <si>
    <t>ANALISTA DE SISTEMAS MACROCOMPUTACIONALES</t>
  </si>
  <si>
    <t>ABOGADO</t>
  </si>
  <si>
    <t>AUDITOR ESPECIALIZADO</t>
  </si>
  <si>
    <t>PROFESIONAL DICTAMINADOR ESPECIALIZADO EN EL MANEJO DE FONDO</t>
  </si>
  <si>
    <t>COORDINADOR DE PROFESIONALES DICTAMINADORES</t>
  </si>
  <si>
    <t>PROFESIONAL EJECUTIVO DE SERVICIOS ESPECIALIZADOS</t>
  </si>
  <si>
    <t>PRODUCTOR RADIOFONICO BILINGUE</t>
  </si>
  <si>
    <t>TECNICO ESPECIALIZADO</t>
  </si>
  <si>
    <t>JEFE DE UNIDAD RADIOFONICA BILINGUE</t>
  </si>
  <si>
    <t>OFICIAL TECNICO</t>
  </si>
  <si>
    <t>TECNICO SUPERIOR</t>
  </si>
  <si>
    <t>SUPERVISOR ADMINISTRATIVO</t>
  </si>
  <si>
    <t>ASISTENTE DE ALMACEN</t>
  </si>
  <si>
    <t>DIRECTOR GENERAL</t>
  </si>
  <si>
    <t>SECRETARIO PARTICULAR DE SPS-33</t>
  </si>
  <si>
    <t>TUTOR ESCOLAR (PARA USO EXCLUSIVO DE PLANTELES)</t>
  </si>
  <si>
    <t>JEFE DE PROYECTO</t>
  </si>
  <si>
    <t>SECRETARIA DE DIRECTOR DE PLANTEL</t>
  </si>
  <si>
    <t>SECRETARIA DE JEFE DE DEPARTAMENTO</t>
  </si>
  <si>
    <t>ANALISTA ESPECIALIZADO</t>
  </si>
  <si>
    <t>ANALISTA TECNICO ESPECIALIZADO</t>
  </si>
  <si>
    <t>OFICIAL DE SERVICIOS ESPECIALIZADOS</t>
  </si>
  <si>
    <t>OFICIAL DE SERVICIOS</t>
  </si>
  <si>
    <t>ANALISTA TECNICO</t>
  </si>
  <si>
    <t>AUXILIAR DE ANALISTA TECNICO</t>
  </si>
  <si>
    <t>AUXILIAR DE BIBLIOTECA</t>
  </si>
  <si>
    <t>SECRETARIA</t>
  </si>
  <si>
    <t>JEFE DE UNIDAD</t>
  </si>
  <si>
    <t>GUARDIAN</t>
  </si>
  <si>
    <t>SUBJEFE DE OFICINA</t>
  </si>
  <si>
    <t>AUXILIAR DE ANALISTA ADMINISTRATIVO</t>
  </si>
  <si>
    <t>ARCHIVISTA</t>
  </si>
  <si>
    <t>TECNICO EN MANTENIMIENTO</t>
  </si>
  <si>
    <t>MECANICO AUTOMOTRIZ</t>
  </si>
  <si>
    <t>CARPINTERO</t>
  </si>
  <si>
    <t>TOTAL No. DE PUESTOS</t>
  </si>
  <si>
    <t>PLAZAS</t>
  </si>
  <si>
    <t>HORAS</t>
  </si>
  <si>
    <t>SUELDO BASE MENSUAL UNITARIO</t>
  </si>
  <si>
    <t>COSTO DEL CAPITULO 1000</t>
  </si>
  <si>
    <t>COSTO TOTAL DE NOMINA</t>
  </si>
  <si>
    <t>RELACION DE INGRESOS BIMESTRAL</t>
  </si>
  <si>
    <t>RELACION DE EGRESOS BIMESTRAL</t>
  </si>
  <si>
    <t>CAT. PUESTO</t>
  </si>
  <si>
    <t>NIVEL                       CM</t>
  </si>
  <si>
    <t>SUELDO BASE MENSUAL POR PUESTO</t>
  </si>
  <si>
    <t>OTRAS PRESTACIONES</t>
  </si>
  <si>
    <t xml:space="preserve">  E0101</t>
  </si>
  <si>
    <t>07</t>
  </si>
  <si>
    <t>7A</t>
  </si>
  <si>
    <t>7B</t>
  </si>
  <si>
    <t>7C</t>
  </si>
  <si>
    <t>7D</t>
  </si>
  <si>
    <t>7E</t>
  </si>
  <si>
    <t xml:space="preserve">  E0105</t>
  </si>
  <si>
    <t xml:space="preserve">  E0121</t>
  </si>
  <si>
    <t>BC</t>
  </si>
  <si>
    <t xml:space="preserve">  E0125</t>
  </si>
  <si>
    <t xml:space="preserve">  E0165</t>
  </si>
  <si>
    <t xml:space="preserve">  E0181</t>
  </si>
  <si>
    <t xml:space="preserve">  E0183</t>
  </si>
  <si>
    <t xml:space="preserve">  E0195</t>
  </si>
  <si>
    <t xml:space="preserve">  E0199</t>
  </si>
  <si>
    <t xml:space="preserve">  E0201</t>
  </si>
  <si>
    <t xml:space="preserve">  E0205</t>
  </si>
  <si>
    <t xml:space="preserve">  E0221</t>
  </si>
  <si>
    <t xml:space="preserve">  E0223</t>
  </si>
  <si>
    <t xml:space="preserve">  E0241</t>
  </si>
  <si>
    <t xml:space="preserve">  E0261</t>
  </si>
  <si>
    <t xml:space="preserve">  E0265</t>
  </si>
  <si>
    <t xml:space="preserve">  E0281</t>
  </si>
  <si>
    <t xml:space="preserve">  E0299</t>
  </si>
  <si>
    <t xml:space="preserve">  E0301</t>
  </si>
  <si>
    <t xml:space="preserve">  E0321</t>
  </si>
  <si>
    <t xml:space="preserve">  E0341</t>
  </si>
  <si>
    <t xml:space="preserve">  E0351</t>
  </si>
  <si>
    <t xml:space="preserve">  E0361</t>
  </si>
  <si>
    <t xml:space="preserve">  E0363</t>
  </si>
  <si>
    <t xml:space="preserve">  E0365</t>
  </si>
  <si>
    <t xml:space="preserve">  E0366</t>
  </si>
  <si>
    <t>HORAS DE ENSENANZA DE ADIESTRAMIENTO DE SECUNDARIAS GENERALES PARA FORTALECIMIENTO CURRICULAR, P</t>
  </si>
  <si>
    <t xml:space="preserve">  E0371</t>
  </si>
  <si>
    <t xml:space="preserve">  E0390</t>
  </si>
  <si>
    <t>HORAS DE ENSENANZA DE ADIESTRAMIENTO DE SECUNDARIAS GENERALES PARA FORTALECIMIENTO CURRICULAR</t>
  </si>
  <si>
    <t xml:space="preserve">  E0392</t>
  </si>
  <si>
    <t xml:space="preserve">  E0401</t>
  </si>
  <si>
    <t xml:space="preserve">  E0421</t>
  </si>
  <si>
    <t xml:space="preserve">  E0441</t>
  </si>
  <si>
    <t xml:space="preserve">  E0451</t>
  </si>
  <si>
    <t xml:space="preserve">  E0461</t>
  </si>
  <si>
    <t xml:space="preserve">  E0463</t>
  </si>
  <si>
    <t xml:space="preserve">  E0465</t>
  </si>
  <si>
    <t xml:space="preserve">  E0466</t>
  </si>
  <si>
    <t>HORAS DE ENSENANZA DE ADIESTRAMIENTO DE SECUNDARIAS TECNICAS PARA FORTALEMIENTO CURRICULAR, PROF</t>
  </si>
  <si>
    <t xml:space="preserve">  E0490</t>
  </si>
  <si>
    <t>HORAS DE ADIESTRAMIENTO DE SECUNDARIAS TECNICAS PARA FORTALECIMIENTO CURRICULAR</t>
  </si>
  <si>
    <t xml:space="preserve">  E0492</t>
  </si>
  <si>
    <t xml:space="preserve">  E0629</t>
  </si>
  <si>
    <t xml:space="preserve">  E0633</t>
  </si>
  <si>
    <t xml:space="preserve">  E0671</t>
  </si>
  <si>
    <t xml:space="preserve">  E0681</t>
  </si>
  <si>
    <t xml:space="preserve">  E0687</t>
  </si>
  <si>
    <t xml:space="preserve">  E0689</t>
  </si>
  <si>
    <t xml:space="preserve">  E0692</t>
  </si>
  <si>
    <t xml:space="preserve">  E0701</t>
  </si>
  <si>
    <t xml:space="preserve">  E0762</t>
  </si>
  <si>
    <t xml:space="preserve">  E0763</t>
  </si>
  <si>
    <t xml:space="preserve">  E0792</t>
  </si>
  <si>
    <t xml:space="preserve">  E0873</t>
  </si>
  <si>
    <t xml:space="preserve">  E0961</t>
  </si>
  <si>
    <t xml:space="preserve">  E0963</t>
  </si>
  <si>
    <t xml:space="preserve">  E1063</t>
  </si>
  <si>
    <t xml:space="preserve">  E1067</t>
  </si>
  <si>
    <t xml:space="preserve">  E1092</t>
  </si>
  <si>
    <t>HORAS DE ENSENANZAS ARTISTICAS Y MUSICALES DE POSTPRIMARIAS PARA FORTALECIMIENTO CURRICULAR</t>
  </si>
  <si>
    <t xml:space="preserve">  E1163</t>
  </si>
  <si>
    <t xml:space="preserve">  E1303</t>
  </si>
  <si>
    <t xml:space="preserve">  E1305</t>
  </si>
  <si>
    <t xml:space="preserve">  E1331</t>
  </si>
  <si>
    <t xml:space="preserve">  E1333</t>
  </si>
  <si>
    <t xml:space="preserve">  E1335</t>
  </si>
  <si>
    <t xml:space="preserve">  E1390</t>
  </si>
  <si>
    <t xml:space="preserve">  E1411</t>
  </si>
  <si>
    <t>JEFE DE ZONA DE SUPERVISION DE EDUCACION INDIGENA.</t>
  </si>
  <si>
    <t xml:space="preserve">  E1441</t>
  </si>
  <si>
    <t xml:space="preserve">  E1461</t>
  </si>
  <si>
    <t xml:space="preserve">  E1478</t>
  </si>
  <si>
    <t xml:space="preserve">  E1480</t>
  </si>
  <si>
    <t xml:space="preserve">  E1481</t>
  </si>
  <si>
    <t xml:space="preserve">  E1483</t>
  </si>
  <si>
    <t xml:space="preserve">  E1485</t>
  </si>
  <si>
    <t xml:space="preserve">  E1489</t>
  </si>
  <si>
    <t xml:space="preserve">  E1491</t>
  </si>
  <si>
    <t xml:space="preserve">  E1492</t>
  </si>
  <si>
    <t>MAESTRA BILINGUE DE EDUCACION PREESCOLAR DE 3/4 DE TIEMPO EN CURSO CON FORTALECIMIENTO CURRICULA</t>
  </si>
  <si>
    <t xml:space="preserve">  E1499</t>
  </si>
  <si>
    <t xml:space="preserve">  E1501</t>
  </si>
  <si>
    <t xml:space="preserve">  E1525</t>
  </si>
  <si>
    <t xml:space="preserve">  E1541</t>
  </si>
  <si>
    <t xml:space="preserve">  E1587</t>
  </si>
  <si>
    <t xml:space="preserve">  E1598</t>
  </si>
  <si>
    <t xml:space="preserve">  E1815</t>
  </si>
  <si>
    <t xml:space="preserve">  E2225</t>
  </si>
  <si>
    <t xml:space="preserve">  E2227</t>
  </si>
  <si>
    <t xml:space="preserve">  E2233</t>
  </si>
  <si>
    <t xml:space="preserve">  E2331</t>
  </si>
  <si>
    <t xml:space="preserve">  E2333</t>
  </si>
  <si>
    <t xml:space="preserve">  E2335</t>
  </si>
  <si>
    <t xml:space="preserve">  E2401</t>
  </si>
  <si>
    <t xml:space="preserve">  E2405</t>
  </si>
  <si>
    <t xml:space="preserve">  E2409</t>
  </si>
  <si>
    <t xml:space="preserve">  E2513</t>
  </si>
  <si>
    <t xml:space="preserve">  E2709</t>
  </si>
  <si>
    <t xml:space="preserve">  E2711</t>
  </si>
  <si>
    <t xml:space="preserve">  E2725</t>
  </si>
  <si>
    <t xml:space="preserve">  E2781</t>
  </si>
  <si>
    <t xml:space="preserve">  E2792</t>
  </si>
  <si>
    <t xml:space="preserve">  E7023</t>
  </si>
  <si>
    <t xml:space="preserve">  E7025</t>
  </si>
  <si>
    <t xml:space="preserve">  E7123</t>
  </si>
  <si>
    <t xml:space="preserve">  E7125</t>
  </si>
  <si>
    <t xml:space="preserve">  E7207</t>
  </si>
  <si>
    <t xml:space="preserve">  E7209</t>
  </si>
  <si>
    <t xml:space="preserve">  E7211</t>
  </si>
  <si>
    <t xml:space="preserve">  E7213</t>
  </si>
  <si>
    <t xml:space="preserve">  E7215</t>
  </si>
  <si>
    <t xml:space="preserve">  E7217</t>
  </si>
  <si>
    <t xml:space="preserve">  E7223</t>
  </si>
  <si>
    <t xml:space="preserve">  E7225</t>
  </si>
  <si>
    <t xml:space="preserve">  E7227</t>
  </si>
  <si>
    <t xml:space="preserve">  E7233</t>
  </si>
  <si>
    <t xml:space="preserve">  E7235</t>
  </si>
  <si>
    <t xml:space="preserve">  E7305</t>
  </si>
  <si>
    <t xml:space="preserve">  E7306</t>
  </si>
  <si>
    <t xml:space="preserve">  E7307</t>
  </si>
  <si>
    <t xml:space="preserve">  E7309</t>
  </si>
  <si>
    <t xml:space="preserve">  E7711</t>
  </si>
  <si>
    <t xml:space="preserve">  E7813</t>
  </si>
  <si>
    <t xml:space="preserve">  E7905</t>
  </si>
  <si>
    <t xml:space="preserve">  E8611</t>
  </si>
  <si>
    <t xml:space="preserve">  E8615</t>
  </si>
  <si>
    <t>JA01009</t>
  </si>
  <si>
    <t>JA08016</t>
  </si>
  <si>
    <t>JA08029</t>
  </si>
  <si>
    <t>JP01002</t>
  </si>
  <si>
    <t>JP07539</t>
  </si>
  <si>
    <t>JS07002</t>
  </si>
  <si>
    <t>JS08012</t>
  </si>
  <si>
    <t>JT03002</t>
  </si>
  <si>
    <t>JT03004</t>
  </si>
  <si>
    <t>JT05010</t>
  </si>
  <si>
    <t>MA01001</t>
  </si>
  <si>
    <t>MA01002</t>
  </si>
  <si>
    <t>MA04012</t>
  </si>
  <si>
    <t>MA05007</t>
  </si>
  <si>
    <t>MS08011</t>
  </si>
  <si>
    <t>MS08015</t>
  </si>
  <si>
    <t>MS12008</t>
  </si>
  <si>
    <t>MT03004</t>
  </si>
  <si>
    <t xml:space="preserve"> A01801</t>
  </si>
  <si>
    <t xml:space="preserve"> A01803</t>
  </si>
  <si>
    <t xml:space="preserve"> A01805</t>
  </si>
  <si>
    <t xml:space="preserve"> A01806</t>
  </si>
  <si>
    <t xml:space="preserve"> A01807</t>
  </si>
  <si>
    <t xml:space="preserve"> A01820</t>
  </si>
  <si>
    <t>A02804</t>
  </si>
  <si>
    <t xml:space="preserve"> A03803</t>
  </si>
  <si>
    <t xml:space="preserve"> C02802</t>
  </si>
  <si>
    <t xml:space="preserve"> P02802</t>
  </si>
  <si>
    <t xml:space="preserve"> P04803</t>
  </si>
  <si>
    <t xml:space="preserve"> S01801</t>
  </si>
  <si>
    <t xml:space="preserve"> S01803</t>
  </si>
  <si>
    <t xml:space="preserve"> S01807</t>
  </si>
  <si>
    <t xml:space="preserve"> S01808</t>
  </si>
  <si>
    <t xml:space="preserve"> S01812</t>
  </si>
  <si>
    <t xml:space="preserve"> S02804</t>
  </si>
  <si>
    <t xml:space="preserve"> S02805</t>
  </si>
  <si>
    <t xml:space="preserve"> S02810</t>
  </si>
  <si>
    <t xml:space="preserve"> S03802</t>
  </si>
  <si>
    <t xml:space="preserve"> S05805</t>
  </si>
  <si>
    <t xml:space="preserve"> S06002</t>
  </si>
  <si>
    <t xml:space="preserve"> S08802</t>
  </si>
  <si>
    <t xml:space="preserve"> T03803</t>
  </si>
  <si>
    <t xml:space="preserve"> T03804</t>
  </si>
  <si>
    <t xml:space="preserve"> T04803</t>
  </si>
  <si>
    <t xml:space="preserve"> T05808</t>
  </si>
  <si>
    <t xml:space="preserve"> T05809</t>
  </si>
  <si>
    <t xml:space="preserve"> T06803</t>
  </si>
  <si>
    <t xml:space="preserve"> T08803</t>
  </si>
  <si>
    <t xml:space="preserve"> T09802</t>
  </si>
  <si>
    <t xml:space="preserve"> T09803</t>
  </si>
  <si>
    <t xml:space="preserve"> T13803</t>
  </si>
  <si>
    <t xml:space="preserve"> T14805</t>
  </si>
  <si>
    <t xml:space="preserve"> T14807</t>
  </si>
  <si>
    <t xml:space="preserve"> T16807</t>
  </si>
  <si>
    <t xml:space="preserve"> T22827</t>
  </si>
  <si>
    <t xml:space="preserve"> T25802</t>
  </si>
  <si>
    <t xml:space="preserve"> T26801</t>
  </si>
  <si>
    <t xml:space="preserve"> T26802</t>
  </si>
  <si>
    <t xml:space="preserve"> T26803</t>
  </si>
  <si>
    <t xml:space="preserve"> T26805</t>
  </si>
  <si>
    <t>CF01801</t>
  </si>
  <si>
    <t>CF01808</t>
  </si>
  <si>
    <t>CF03801</t>
  </si>
  <si>
    <t>CF03802</t>
  </si>
  <si>
    <t>CF03809</t>
  </si>
  <si>
    <t>CF04805</t>
  </si>
  <si>
    <t>CF04806</t>
  </si>
  <si>
    <t>CF04807</t>
  </si>
  <si>
    <t>CF04808</t>
  </si>
  <si>
    <t>CF07817</t>
  </si>
  <si>
    <t>CF08822</t>
  </si>
  <si>
    <t>CF12803</t>
  </si>
  <si>
    <t>CF12804</t>
  </si>
  <si>
    <t>CF12812</t>
  </si>
  <si>
    <t>CF12825</t>
  </si>
  <si>
    <t>CF21802</t>
  </si>
  <si>
    <t>CF21817</t>
  </si>
  <si>
    <t>CF21858</t>
  </si>
  <si>
    <t>CF21859</t>
  </si>
  <si>
    <t>CF21864</t>
  </si>
  <si>
    <t>CF33821</t>
  </si>
  <si>
    <t>CF33828</t>
  </si>
  <si>
    <t>CF33834</t>
  </si>
  <si>
    <t>CF33865</t>
  </si>
  <si>
    <t>CF33891</t>
  </si>
  <si>
    <t>CF33892</t>
  </si>
  <si>
    <t>CF34806</t>
  </si>
  <si>
    <t>CF34807</t>
  </si>
  <si>
    <t>CF34810</t>
  </si>
  <si>
    <t>CF34813</t>
  </si>
  <si>
    <t>CF34844</t>
  </si>
  <si>
    <t>ED02810</t>
  </si>
  <si>
    <t>CF01005</t>
  </si>
  <si>
    <t>CF01012</t>
  </si>
  <si>
    <t>CF01059</t>
  </si>
  <si>
    <t>CF01060</t>
  </si>
  <si>
    <t>CF52118</t>
  </si>
  <si>
    <t>CF53083</t>
  </si>
  <si>
    <t xml:space="preserve">  E9015</t>
  </si>
  <si>
    <t>PROFESOR TITULAR "B" (E.S.) MEDIO TIEMPO</t>
  </si>
  <si>
    <t xml:space="preserve">  E9207</t>
  </si>
  <si>
    <t>PROFESOR ASOCIADO A (E.S.) TIEMPO COMPLETO</t>
  </si>
  <si>
    <t xml:space="preserve">  E9209</t>
  </si>
  <si>
    <t xml:space="preserve">  E9211</t>
  </si>
  <si>
    <t xml:space="preserve">  E9213</t>
  </si>
  <si>
    <t xml:space="preserve">  E9215</t>
  </si>
  <si>
    <t xml:space="preserve">  E9217</t>
  </si>
  <si>
    <t xml:space="preserve">  E9239</t>
  </si>
  <si>
    <t xml:space="preserve">  E9303</t>
  </si>
  <si>
    <t xml:space="preserve">  E9305</t>
  </si>
  <si>
    <t>LA01005</t>
  </si>
  <si>
    <t>LA01026</t>
  </si>
  <si>
    <t>LA08006</t>
  </si>
  <si>
    <t>LF08025</t>
  </si>
  <si>
    <t>LF34117</t>
  </si>
  <si>
    <t>LS06002</t>
  </si>
  <si>
    <t>LS14012</t>
  </si>
  <si>
    <t>ENERO                 FEBRERO</t>
  </si>
  <si>
    <t>MARZO                          ABRIL</t>
  </si>
  <si>
    <t>MAYO                           JUNIO</t>
  </si>
  <si>
    <t>JULIO                         AGOSTO</t>
  </si>
  <si>
    <t>SEPTIEMBRE                                       OCTUBRE</t>
  </si>
  <si>
    <t>NOVIEMBRE                           DICIEMBRE</t>
  </si>
  <si>
    <t>RECURSOS EXTRAORD. 2008</t>
  </si>
  <si>
    <t>RECUROS ESTATALES</t>
  </si>
  <si>
    <t>PRODUCTOS FINANCIEROS</t>
  </si>
  <si>
    <t>APROV</t>
  </si>
  <si>
    <t>(Int. Sria. Fin.)</t>
  </si>
  <si>
    <t>(Ramo 11)</t>
  </si>
  <si>
    <t>Propios</t>
  </si>
  <si>
    <t>Propios nóminas</t>
  </si>
  <si>
    <t xml:space="preserve">     INVERSIONES USET</t>
  </si>
  <si>
    <t xml:space="preserve">     INVERSIONES SRIA. DE FINANZAS</t>
  </si>
  <si>
    <t xml:space="preserve">     OTROS PRODUCTOS</t>
  </si>
  <si>
    <t>ESTADO  DE INGRESOS Y EGRESOS POR EL PERIODO COMPRENDIDO</t>
  </si>
  <si>
    <t>PROGRAMADO BIMESTRAL</t>
  </si>
  <si>
    <t>EJERCIDO DEL BIMESTRE</t>
  </si>
  <si>
    <t xml:space="preserve">ENERO    FEBRERO </t>
  </si>
  <si>
    <t>MARZO          ABRIL</t>
  </si>
  <si>
    <t>MAYO              JUNIO</t>
  </si>
  <si>
    <t>JULIO          AGOSTO</t>
  </si>
  <si>
    <t>SEPTIEMBRE     OCTUBRE</t>
  </si>
  <si>
    <t>NOVIEMBRE     DICIEMBRE</t>
  </si>
  <si>
    <t>RECURSOS                                    FAEB 2009</t>
  </si>
  <si>
    <t>Ampliaciones</t>
  </si>
  <si>
    <t>AJUSTE DE</t>
  </si>
  <si>
    <t>PARTIDAS</t>
  </si>
  <si>
    <t>RECURSOS                                    FAEB 2008</t>
  </si>
  <si>
    <t>RAMO 33</t>
  </si>
  <si>
    <t>RENDIMIENTOS FINANCIEROS 2009</t>
  </si>
  <si>
    <t>INV. USET</t>
  </si>
  <si>
    <t>RECURSOS EXTRAORD. 2009</t>
  </si>
  <si>
    <t>PROGR. ESP.</t>
  </si>
  <si>
    <t xml:space="preserve">OTROS INGRESOS                                                                  </t>
  </si>
  <si>
    <t xml:space="preserve">CHEQUES CANCELADOS EJERCICIOS ANTERIORES                                        </t>
  </si>
  <si>
    <t xml:space="preserve">DESCUENTOS VIA NOMINA                                                           </t>
  </si>
  <si>
    <t>RELACION DE CUENTAS POR COBRAR</t>
  </si>
  <si>
    <t xml:space="preserve">SITUACION FINANCIERA </t>
  </si>
  <si>
    <t>PASIVO + PATRIMONIO</t>
  </si>
  <si>
    <t>PATRIMONIO</t>
  </si>
  <si>
    <t>INGRESOS POR EL PERIODO COMPRENDIDO</t>
  </si>
  <si>
    <t>EGRESOS POR EL PERIODO COMPRENDIDO</t>
  </si>
  <si>
    <t>GRAFICA DE ACTIVO</t>
  </si>
  <si>
    <t>GRAFICA DE PASIVO</t>
  </si>
  <si>
    <t>GRAFICA DE SITUACION FINANCIERA</t>
  </si>
  <si>
    <t>ANALISIS DE MODIFICACIONES PATRIMONIALES</t>
  </si>
  <si>
    <t>GRAFICA DE PATRIMONIO</t>
  </si>
  <si>
    <t xml:space="preserve">PROFESET                                                                        </t>
  </si>
  <si>
    <t>INVERSION PUBLICA</t>
  </si>
  <si>
    <t>* EN EL CASO DEL CONCEPTO DE GASTO CORRIENTE EN LA GRAFICA HAY QUE CAMBIAR EL PORCENTAJE DE ACUERDO AL QUE LE CORRESPONDA REALMENTE, YA QUE EL 82% QUE TRAE NO SE PUEDE CAMBIAR EN AUTOMATICO</t>
  </si>
  <si>
    <t>PRONOSTICO</t>
  </si>
  <si>
    <t>GRAFICA DE INGRESOS</t>
  </si>
  <si>
    <t>GRAFICA DE EGRESOS</t>
  </si>
  <si>
    <t>ESTADO DE ORIGEN Y APLICACIÓN BIMESTRAL</t>
  </si>
  <si>
    <t>CORESPONDIENTE AL BIMESTRE</t>
  </si>
  <si>
    <t>RELACION DE INGRESOS ACUMULADO</t>
  </si>
  <si>
    <t>RELACION DE EGRESOS ACUMULADO</t>
  </si>
  <si>
    <t xml:space="preserve">CUENTAS POR COBRAR VARIAS (CENTROS COMUNITARIOS)                                                    </t>
  </si>
  <si>
    <t>ESTADO DE INGRESOS Y EGRESOS ACUMULADO</t>
  </si>
  <si>
    <t>ESTADO DE ORIGEN Y APLICACIÓN ACUMULADO</t>
  </si>
  <si>
    <t>ESTADO DE INGRESOS Y EGRESOS BIIMESTRAL</t>
  </si>
  <si>
    <t>PATRIMONIO BIENES MUEBLES E INMUEBLES</t>
  </si>
  <si>
    <t>ARRENDAMIENTO DE ACTIVOS INTANGIBLES</t>
  </si>
  <si>
    <t>ok</t>
  </si>
  <si>
    <t>11303</t>
  </si>
  <si>
    <t>SUELDOS A TRABAJADORES</t>
  </si>
  <si>
    <t>11304</t>
  </si>
  <si>
    <t>SUELDOS INTERINOS</t>
  </si>
  <si>
    <t>11305</t>
  </si>
  <si>
    <t>SUELDOS AL MAGISTERIO</t>
  </si>
  <si>
    <t>11306</t>
  </si>
  <si>
    <t>DIFERENCIAS DE SUELDOS AL MAGISTERIO</t>
  </si>
  <si>
    <t>12101</t>
  </si>
  <si>
    <t>13103</t>
  </si>
  <si>
    <t>PRIMA QUINQUENAL AL MAGISTERIO</t>
  </si>
  <si>
    <t>13204</t>
  </si>
  <si>
    <t>PRIMA VACACIONAL AL MAGISTERIO</t>
  </si>
  <si>
    <t>13209</t>
  </si>
  <si>
    <t>GRATIFICACIÓN FIN DE AÑO A MAGISTERIO</t>
  </si>
  <si>
    <t>13401</t>
  </si>
  <si>
    <t>COMPENSACIONES Y OTRAS PRESTACIONES A FUNCIONARIOS</t>
  </si>
  <si>
    <t>13402</t>
  </si>
  <si>
    <t>COMPENSACIONES AL PERSONAL</t>
  </si>
  <si>
    <t>13404</t>
  </si>
  <si>
    <t>COMPENSACIONES A MAGISTERIO</t>
  </si>
  <si>
    <t>13405</t>
  </si>
  <si>
    <t>BONO DE ACTUACIÓN A FUNCIONARIOS</t>
  </si>
  <si>
    <t>13407</t>
  </si>
  <si>
    <t>BONO DE ACTUACIÓN A TRABAJADORES</t>
  </si>
  <si>
    <t>14101</t>
  </si>
  <si>
    <t>APORTACIONES DE SEGURIDAD SOCIAL</t>
  </si>
  <si>
    <t>14303</t>
  </si>
  <si>
    <t>CUOTAS SEGURO DE RETIRO A MAGISTERIO</t>
  </si>
  <si>
    <t>15101</t>
  </si>
  <si>
    <t>CUOTAS PARA EL FONDO DE AHORRO Y FONDO DE TRABAJO</t>
  </si>
  <si>
    <t>15401</t>
  </si>
  <si>
    <t>AYUDA PARA PASAJES</t>
  </si>
  <si>
    <t>15403</t>
  </si>
  <si>
    <t>15415</t>
  </si>
  <si>
    <t>PRESTACIONES CONTRACTUALES AL PERSONAL DEL SECTOR EDUCATIVO</t>
  </si>
  <si>
    <t>15418</t>
  </si>
  <si>
    <t>PRESTACIONES CONTRACTUALES A MAGISTERIO</t>
  </si>
  <si>
    <t>15422</t>
  </si>
  <si>
    <t>SERVICIO MÉDICO MAGISTERIO</t>
  </si>
  <si>
    <t>15501</t>
  </si>
  <si>
    <t>15905</t>
  </si>
  <si>
    <t>CUOTAS DESPENSA AL MAGISTERIO</t>
  </si>
  <si>
    <t>15908</t>
  </si>
  <si>
    <t>OTRAS PERCEPCIONES AL PERSONAL</t>
  </si>
  <si>
    <t>15909</t>
  </si>
  <si>
    <t>OTRAS PERCEPCIONES A TRABAJADORES</t>
  </si>
  <si>
    <t>15913</t>
  </si>
  <si>
    <t>APORTACIÓN A PENSIONES POR MAGISTERIO</t>
  </si>
  <si>
    <t>17101</t>
  </si>
  <si>
    <t>ESTÍMULOS POR AÑOS DE SERVICIO</t>
  </si>
  <si>
    <t>17103</t>
  </si>
  <si>
    <t>ESTÍMULOS AL MAGISTERIO</t>
  </si>
  <si>
    <t>21101</t>
  </si>
  <si>
    <t>MATERIALES, ÚTILES Y EQUIPOS MENORES DE OFICINA</t>
  </si>
  <si>
    <t>21401</t>
  </si>
  <si>
    <t>MATERIALES, ÚTILES Y EQUIPOS MENORES DE TECNOLOGÍAS DE LA INFORMACIÓN Y COMUNICACIONES</t>
  </si>
  <si>
    <t>21501</t>
  </si>
  <si>
    <t>MATERIAL IMPRESO E INFORMACIÓN DIGITAL</t>
  </si>
  <si>
    <t>21601</t>
  </si>
  <si>
    <t>21701</t>
  </si>
  <si>
    <t>MATERIALES Y ÚTILES DE ENSEÑANZA</t>
  </si>
  <si>
    <t>21801</t>
  </si>
  <si>
    <t>22101</t>
  </si>
  <si>
    <t>PRODUCTOS ALIMENTICIOS PARA PERSONAS</t>
  </si>
  <si>
    <t>22301</t>
  </si>
  <si>
    <t>24101</t>
  </si>
  <si>
    <t>24401</t>
  </si>
  <si>
    <t>24501</t>
  </si>
  <si>
    <t>24601</t>
  </si>
  <si>
    <t>24901</t>
  </si>
  <si>
    <t>25301</t>
  </si>
  <si>
    <t>25401</t>
  </si>
  <si>
    <t>25601</t>
  </si>
  <si>
    <t>26101</t>
  </si>
  <si>
    <t>COMBUSTIBLES, LUBRICANTES Y ADITIVOS</t>
  </si>
  <si>
    <t>27101</t>
  </si>
  <si>
    <t>27201</t>
  </si>
  <si>
    <t>PRENDAS DE SEGURIDAD Y PROTECCIÓN PERSONAL</t>
  </si>
  <si>
    <t>27301</t>
  </si>
  <si>
    <t>27501</t>
  </si>
  <si>
    <t>29101</t>
  </si>
  <si>
    <t>29201</t>
  </si>
  <si>
    <t>29301</t>
  </si>
  <si>
    <t>29401</t>
  </si>
  <si>
    <t>REFACCIONES Y ACCESORIOS MENORES DE EQUIPO DE CÓMPUTO Y TECNOLOGÍAS DE LA INFORMACIÓN</t>
  </si>
  <si>
    <t>31101</t>
  </si>
  <si>
    <t>ENERGÍA ELÉCTRICA</t>
  </si>
  <si>
    <t>31201</t>
  </si>
  <si>
    <t>GAS</t>
  </si>
  <si>
    <t>31301</t>
  </si>
  <si>
    <t>AGUA</t>
  </si>
  <si>
    <t>31401</t>
  </si>
  <si>
    <t>TELEFONÍA TRADICIONAL</t>
  </si>
  <si>
    <t>31601</t>
  </si>
  <si>
    <t>SERVICIOS DE TELECOMUNICACIONES Y SATÉLITES</t>
  </si>
  <si>
    <t>31701</t>
  </si>
  <si>
    <t>SERVICIOS DE ACCESO DE INTERNET, REDES Y PROCESAMIENTO DE INFORMACIÓN</t>
  </si>
  <si>
    <t>31801</t>
  </si>
  <si>
    <t>SERVICIOS POSTALES Y TELEGRÁFICOS</t>
  </si>
  <si>
    <t>32201</t>
  </si>
  <si>
    <t>ARRENDAMIENTO DE EDIFICIOS</t>
  </si>
  <si>
    <t>32301</t>
  </si>
  <si>
    <t>ARRENDAMIENTO DE MOBILIARIO Y EQUIPO DE ADMINISTRACIÓN, EDUCACIONAL Y RECREATIVO</t>
  </si>
  <si>
    <t>32501</t>
  </si>
  <si>
    <t>ARRENDAMIENTO DE EQUIPO DE TRANSPORTE</t>
  </si>
  <si>
    <t>32701</t>
  </si>
  <si>
    <t>32901</t>
  </si>
  <si>
    <t>OTROS ARRENDAMIENTOS</t>
  </si>
  <si>
    <t>33101</t>
  </si>
  <si>
    <t>SERVICIOS LEGALES, DE CONTABILIDAD, AUDITORÍA Y RELACIONADOS</t>
  </si>
  <si>
    <t>33401</t>
  </si>
  <si>
    <t>SERVICIOS DE CAPACITACIÓN</t>
  </si>
  <si>
    <t>33501</t>
  </si>
  <si>
    <t>SERVICIOS DE INVESTIGACIÓN CIENTÍFICA Y DESARROLLO</t>
  </si>
  <si>
    <t>33601</t>
  </si>
  <si>
    <t>SERVICIOS DE APOYO ADMINISTRATIVO, TRADUCCIÓN, FOTOCOPIADO E IMPRESIÓN</t>
  </si>
  <si>
    <t>33801</t>
  </si>
  <si>
    <t>SERVICIO DE VIGILANCIA</t>
  </si>
  <si>
    <t>34501</t>
  </si>
  <si>
    <t>34701</t>
  </si>
  <si>
    <t>35101</t>
  </si>
  <si>
    <t>CONSERVACIÓN Y MANTENIMIENTO MENOR DE INMUEBLES</t>
  </si>
  <si>
    <t>35201</t>
  </si>
  <si>
    <t>INSTALACIÓN, REPARACIÓN Y MANTENIMIENTO DE MOBILIARIO Y EQUIPO DE ADMINISTRACIÓN, EDUCACIONAL Y RECREATIVO</t>
  </si>
  <si>
    <t>35301</t>
  </si>
  <si>
    <t>INSTALACIÓN, REPARACIÓN Y MANTENIMIENTO DE EQUIPO DE CÓMPUTO Y TECNOLOGÍA DE LA INFORMACIÓN.</t>
  </si>
  <si>
    <t>35501</t>
  </si>
  <si>
    <t>REPARACIÓN Y MANTENIMIENTO DE EQUIPO DE TRANSPORTE</t>
  </si>
  <si>
    <t>35701</t>
  </si>
  <si>
    <t>INSTALACIÓN, REPARACIÓN Y MANTENIMIENTO DE MAQUINARIA, OTROS EQUIPOS Y HERRAMIENTA</t>
  </si>
  <si>
    <t>35901</t>
  </si>
  <si>
    <t>36101</t>
  </si>
  <si>
    <t>DIFUSIÓN POR RADIO, TELEVISIÓN Y OTROS MEDIOS DE MENSAJES SOBRE PROGRAMAS Y ACTIVIDADES GUBERNAMENTALES.</t>
  </si>
  <si>
    <t>37101</t>
  </si>
  <si>
    <t>PASAJES AÉREOS</t>
  </si>
  <si>
    <t>37201</t>
  </si>
  <si>
    <t>37501</t>
  </si>
  <si>
    <t>VIÁTICOS EN EL PAÍS</t>
  </si>
  <si>
    <t>38201</t>
  </si>
  <si>
    <t>GASTOS DE ORDEN SOCIAL Y CULTURAL</t>
  </si>
  <si>
    <t>39201</t>
  </si>
  <si>
    <t>IMPUESTOS Y DERECHOS</t>
  </si>
  <si>
    <t>41101</t>
  </si>
  <si>
    <t>ASIGNACIONES PRESUPUESTARIAS AL PODER EJECUTIVO</t>
  </si>
  <si>
    <t>44101</t>
  </si>
  <si>
    <t>AYUDAS SOCIALES A PERSONAS</t>
  </si>
  <si>
    <t>HONORARIOS ASIMILABLES A SALARIOS.</t>
  </si>
  <si>
    <t>APOYOS A LA CAPACITACIÓN DE LOS SERVIDORES PÚBLICOS.</t>
  </si>
  <si>
    <t>MATERIAL DE LIMPIEZA.</t>
  </si>
  <si>
    <t>MATERIALES PARA EL REGISTRO E IDENTIFICACIÓN DE BIENES Y PERSONAS.</t>
  </si>
  <si>
    <t>UTENSILIOS PARA EL SERVICIO DE ALIMENTACIÓN.</t>
  </si>
  <si>
    <t>PRODUCTOS MINERALES NO METÁLICOS.</t>
  </si>
  <si>
    <t>MADERA Y PRODUCTOS DE MADERA.</t>
  </si>
  <si>
    <t>VIDRIO Y PRODUCTOS DE VIDRIO.</t>
  </si>
  <si>
    <t>MATERIAL ELÉCTRICO Y ELECTRÓNICO.</t>
  </si>
  <si>
    <t>OTROS MATERIALES Y ARTÍCULOS DE CONSTRUCCIÓN Y REPARACIÓN.</t>
  </si>
  <si>
    <t>MEDICINAS Y PRODUCTOS FARMACÉUTICOS.</t>
  </si>
  <si>
    <t>MATERIALES, ACCESORIOS Y SUMINISTROS MÉDICOS.</t>
  </si>
  <si>
    <t>FIBRAS SINTÉTICAS, HULES, PLÁSTICOS Y DERIVADOS.</t>
  </si>
  <si>
    <t>VESTUARIO Y UNIFORMES.</t>
  </si>
  <si>
    <t>ARTÍCULOS DEPORTIVOS.</t>
  </si>
  <si>
    <t>BLANCOS Y OTROS PRODUCTOS TEXTILES, EXCEPTO PRENDAS DE VESTIR.</t>
  </si>
  <si>
    <t>HERRAMIENTAS MENORES.</t>
  </si>
  <si>
    <t>REFACCIONES Y ACCESORIOS MENORES DE EDIFICIOS.</t>
  </si>
  <si>
    <t>REFACCIONES Y ACCESORIOS MENORES DE MOBILIARIO Y EQUIPO DE ADMINISTRACIÓN, EDUCACIONAL Y RECREATIVO.</t>
  </si>
  <si>
    <t>SEGUROS DE BIENES PATRIMONIALES.</t>
  </si>
  <si>
    <t>FLETES Y MANIOBRAS.</t>
  </si>
  <si>
    <t>SERVICIOS DE JARDINERÍA Y FUMIGACIÓN.</t>
  </si>
  <si>
    <t>PASAJES TERRESTRES</t>
  </si>
  <si>
    <t>CUENTA DE CHEQUES No. 6550474684-5</t>
  </si>
  <si>
    <t>CUENTA DE CHEQUES No. 6550474689-3</t>
  </si>
  <si>
    <t>Adrián Duran Pérez</t>
  </si>
  <si>
    <t>Antonio Arenas Corona</t>
  </si>
  <si>
    <t>Antonio Cuamatzi Méndez</t>
  </si>
  <si>
    <t>Eduardo Hernández Maldonado</t>
  </si>
  <si>
    <t>Javier Conde Méndez</t>
  </si>
  <si>
    <t>José Antonio Aguilar Duran</t>
  </si>
  <si>
    <t>José Escamilla Benítez</t>
  </si>
  <si>
    <t>José Héctor Salas Torres</t>
  </si>
  <si>
    <t>José Luis Salazar Cuecuecha</t>
  </si>
  <si>
    <t>Julio Ángel Odilón Flores Jiménez</t>
  </si>
  <si>
    <t>Lucina Portilla Mora</t>
  </si>
  <si>
    <t>Luis Mendoza Romero</t>
  </si>
  <si>
    <t>Ma. Guillermina Flores Romero</t>
  </si>
  <si>
    <t>Marcial Molina Padilla</t>
  </si>
  <si>
    <t>María Rufina Rodríguez Mendieta</t>
  </si>
  <si>
    <t>Miguel Hoyos Ortega</t>
  </si>
  <si>
    <t>Pablo Sánchez López</t>
  </si>
  <si>
    <t>Pedro Alejandro Reza Arellano</t>
  </si>
  <si>
    <t>Prisciliano Molina Atonal</t>
  </si>
  <si>
    <t>Reyes Andrés Águila Rivera</t>
  </si>
  <si>
    <t>Ricardo Gómez Pérez</t>
  </si>
  <si>
    <t>Yasbeth Ramírez Muñoz</t>
  </si>
  <si>
    <t>Autobuses Rápidos De Zacatlán S. A. de C. V.</t>
  </si>
  <si>
    <t>Comercializadora Beraca S. A. de C. V.</t>
  </si>
  <si>
    <t>Comercializadora Gomosa S. A de C. V.</t>
  </si>
  <si>
    <t>Exhibidora Cinematográfica del Centro S. A. de C. V.</t>
  </si>
  <si>
    <t>Miguel Fernández e Hijos S. A. de C. V.</t>
  </si>
  <si>
    <t>Patronato Estatal De Tlaxcala</t>
  </si>
  <si>
    <t>Teléfonos De México S. A. De C. V.</t>
  </si>
  <si>
    <t>Viajes Integrales Exprés S. A. de C. V.</t>
  </si>
  <si>
    <t>JUBILACIONES AL MAGISTERIO</t>
  </si>
  <si>
    <t>quitar ceros</t>
  </si>
  <si>
    <t xml:space="preserve">          BBVA BANCOMER S. A. DE C.V.</t>
  </si>
  <si>
    <t>SERVICIOS PERSONALES POR PAGAR A CORTO PLAZO</t>
  </si>
  <si>
    <t>PROVEEDORES POR PAGAR A CORTO PLAZO</t>
  </si>
  <si>
    <t>Otros ingresos y beneficios varios</t>
  </si>
  <si>
    <t>+</t>
  </si>
  <si>
    <t>44201</t>
  </si>
  <si>
    <t xml:space="preserve"> BECAS Y OTRAS AYUDAS PARA PROGRAMAS DE CAPACITACIÓN</t>
  </si>
  <si>
    <t>SERVICIOS DE DISEÑO, ARQUITECTURA, INGENIERÍA Y ACTIVIDADES RELACIONADAS</t>
  </si>
  <si>
    <t>FONE</t>
  </si>
  <si>
    <t>Programa Escuela de Tiempo Completo</t>
  </si>
  <si>
    <t>Programa Nacional de Becas</t>
  </si>
  <si>
    <t>Programa Inclusión y Equidad Educativa</t>
  </si>
  <si>
    <t>Programa Escuela Segura</t>
  </si>
  <si>
    <t>Programa Desarrollo Profesional y Docente</t>
  </si>
  <si>
    <t xml:space="preserve">   FEDERALES:</t>
  </si>
  <si>
    <t xml:space="preserve">   ESTATALES:</t>
  </si>
  <si>
    <t>Programa Centros Comunitarios de Aprendizaje</t>
  </si>
  <si>
    <t>Programa Bachillerato Modalidad en Línea</t>
  </si>
  <si>
    <t xml:space="preserve">   CONVENIDOS:</t>
  </si>
  <si>
    <t>Programa Telebachillerato Comunitario (Federal)</t>
  </si>
  <si>
    <t>Programa Telebachillerato Comunitario (Estatal)</t>
  </si>
  <si>
    <t xml:space="preserve">   AYUDAS SOCIALES A PERSONAS</t>
  </si>
  <si>
    <t xml:space="preserve">   BECAS Y OTRAS AYUDAS PARA PROGRAMAS DE CAPACITACIÓN</t>
  </si>
  <si>
    <t>TERCEROS</t>
  </si>
  <si>
    <t>CANCELACION DE ADEUDO</t>
  </si>
  <si>
    <t>TERCEROS Y CUOTAS SIDICALES</t>
  </si>
  <si>
    <t>56501</t>
  </si>
  <si>
    <t>PRODUCTOS TEXTILES.</t>
  </si>
  <si>
    <t>ARTÍCULOS METÁLICOS PARA LA CONSTRUCCIÓN.</t>
  </si>
  <si>
    <t xml:space="preserve">   PROGRAMAS CONVENIDOS:</t>
  </si>
  <si>
    <t>PRESUPUESTO ESTATAL</t>
  </si>
  <si>
    <t>ANALISIS DE MODIFICACIONES A RESULTADO DE EJERCICIOS ANTERIORES</t>
  </si>
  <si>
    <t>PARTIDA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</si>
  <si>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</si>
  <si>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</si>
  <si>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</si>
  <si>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</si>
  <si>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</si>
  <si>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</si>
  <si>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</si>
  <si>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</si>
  <si>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</si>
  <si>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</si>
  <si>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</si>
  <si>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</si>
  <si>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SALDO AL 31/12/2014</t>
  </si>
  <si>
    <t>Nota: Respecto a la aplicación de recursos en el Capítulo 5000, los mismos para su control y registro presupuestal y contable, se realizan de acuerdo a lo establecido en la Ley General de Contabilidad Gubernamental.</t>
  </si>
  <si>
    <t>Florencio López Quiroz</t>
  </si>
  <si>
    <t>OTRAS CUENTAS POR PAGAR CORTO PLAZO</t>
  </si>
  <si>
    <t>Curso Taller Proyecto ASPA</t>
  </si>
  <si>
    <t>Programa de Fortalecimiento de la Calidad en Educación</t>
  </si>
  <si>
    <t>FAM</t>
  </si>
  <si>
    <t>Rendimientos FAM</t>
  </si>
  <si>
    <t>Programa de Fortalecimiento de la calidad en Educación</t>
  </si>
  <si>
    <t>SERVICIO MÉDICO A TRABAJADORES</t>
  </si>
  <si>
    <t>MATERIALES Y ÚTILES DE IMPRESIÓN Y REPRODUCCIÓN</t>
  </si>
  <si>
    <t>COMBUSTIBLES, LUBRICANTES, ADITIVOS, CARBÓN Y SUS DERIVADOS ADQUIRIDOS COMO MATERIA PRIMA.</t>
  </si>
  <si>
    <t>51501</t>
  </si>
  <si>
    <t>EQUIPO DE CÓMPUTO Y DE TECNOLOGÍAS DE LA INFORMACIÓN</t>
  </si>
  <si>
    <t>51901</t>
  </si>
  <si>
    <t>OTRO MOBILIARIO Y EQUIPO DE ADMINISTRACIÓN</t>
  </si>
  <si>
    <t>DISPONIBLE AL 31 DE OCTUBRE DE 2015</t>
  </si>
  <si>
    <t>AL  31  DE  OCTUBRE  DE  2015</t>
  </si>
  <si>
    <t>Proyecto de política de Igualdad de Género</t>
  </si>
  <si>
    <t>Fondo para el Fortalecimiento de la Autorización del Gestión en Planteles de Educación Media PAAGES</t>
  </si>
  <si>
    <t>REFACCIONES Y ACCESORIOS MENORES DE EQUIPO E INSTRUMENTAL MÉDICO Y DE LABORATORIO.</t>
  </si>
  <si>
    <t xml:space="preserve"> ARRENDAMIENTO DE MAQUINARIA, OTROS EQUIPOS Y HERRAMIENTAS</t>
  </si>
  <si>
    <t xml:space="preserve"> IMPUESTOS SOBRE NOMINAS Y OTROS QUE SE DERIVEN DE UNA RELACIÓN LABORAL</t>
  </si>
  <si>
    <t>NOVIEMBRE - DICIEMBRE 2015</t>
  </si>
  <si>
    <t>AL 31 DE DICIEMBRE DE 2015</t>
  </si>
  <si>
    <t>DEL 01 DE NOVIEMBRE AL 3I DE DICIEMBRE DE 2015</t>
  </si>
  <si>
    <t>DEL 01 DE NOVIEMBRE AL 31 DE DICIEMBRE DE 2015</t>
  </si>
  <si>
    <t>DEFICIT</t>
  </si>
  <si>
    <t>CUENTA DE CHEQUES No. 45215078-6</t>
  </si>
  <si>
    <t>CUENTA DE CHEQUES No. 6550493500-7</t>
  </si>
  <si>
    <t>AL  31  DE  DICIEMBRE  DE  2015</t>
  </si>
  <si>
    <t>DEL 01 DE ENERO AL  31  DE  DICIEMBRE  DE  2015</t>
  </si>
  <si>
    <t>DEL 01 DE NOVIEMBRE  AL  31  DE  DICIEMBRE  DE  2015</t>
  </si>
  <si>
    <t>DEL 01 DE NOVIEMBRE AL  31  DE  DICIEMBRE  DE  2015</t>
  </si>
  <si>
    <t xml:space="preserve">   TRANSFERENCIAS INTERNAS Y AYUDAS AL SECTOR PUBLICO</t>
  </si>
  <si>
    <t>.</t>
  </si>
  <si>
    <t>AL  31  DE  DICIEMBRE  DE  2014</t>
  </si>
  <si>
    <t>DEL 01 DE  NOVIEMBRE  AL  31  DE  DICIEMBRE  DE  2015</t>
  </si>
  <si>
    <t>AL MES DE DICIEMBRE DE 2015</t>
  </si>
  <si>
    <t>DISPONIBLE AL 31 DE DICIEMBRE DE 2015</t>
  </si>
  <si>
    <t>AL MES DE DICIEMBRE  DE 2015</t>
  </si>
  <si>
    <t>Jorge Arturo Cuatepotzo Sánchez</t>
  </si>
  <si>
    <t>Moisés Molina Maldonado</t>
  </si>
  <si>
    <t>Osbaldo Rivera López</t>
  </si>
  <si>
    <t>Onisuki Pedro Hernández Sánchez</t>
  </si>
  <si>
    <t>Efectivale S. A. de C. V.</t>
  </si>
  <si>
    <t>56701</t>
  </si>
  <si>
    <t xml:space="preserve">  HERRAMIENTAS Y MAQUINAS-HERRAMIENTA</t>
  </si>
  <si>
    <t xml:space="preserve">  EQUIPOS DE GENERACIÓN ELÉCTRICA, APARATOS Y ACCESORIOS ELÉCTRICOS</t>
  </si>
  <si>
    <t xml:space="preserve">  EQUIPO DE COMUNICACIÓN Y TELECOMUNICACIÓN</t>
  </si>
  <si>
    <t xml:space="preserve">  MAQUINARIA Y EQUIPO INDUSTRIAL</t>
  </si>
  <si>
    <t xml:space="preserve">  VEHÍCULOS Y EQUIPO TERRESTRE</t>
  </si>
  <si>
    <t xml:space="preserve">  INSTRUMENTAL MÉDICO Y DE LABORATORIO</t>
  </si>
  <si>
    <t xml:space="preserve">  EQUIPO MÉDICO Y DE LABORATORIO</t>
  </si>
  <si>
    <t xml:space="preserve">  OTRO MOBILIARIO Y EQUIPO EDUCACIONAL Y RECREATIVO</t>
  </si>
  <si>
    <t>MUEBLES DE OFICINA Y ESTANTERÍA</t>
  </si>
  <si>
    <t>SERVICIOS DE LIMPIEZA Y MANEJO DE DESECHOS</t>
  </si>
  <si>
    <t>REFACCIONES Y ACCESORIOS MENORES DE MAQUINARIA Y OTROS EQUIPOS.</t>
  </si>
  <si>
    <t>FERTILIZANTES, PESTICIDAS Y OTROS AGROQUÍMICOS</t>
  </si>
  <si>
    <t>MATERIALES COMPLEMENTARIOS.</t>
  </si>
  <si>
    <t>CEMENTO Y PRODUCTOS DE CONCRETO.</t>
  </si>
  <si>
    <t>PRODUCTOS DE CUERO, PIEL, PLÁSTICO Y HULE ADQUIRIDO COMO MATERIA PRIMA</t>
  </si>
  <si>
    <t xml:space="preserve">RAMO XXXIII </t>
  </si>
  <si>
    <t>NOTAS A LOS ESTADO FINANCIEROS</t>
  </si>
  <si>
    <t>NOTAS ALOS ESTADO FINANCIEROS</t>
  </si>
  <si>
    <t>DESGLOSE ANALITICO DE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</si>
</sst>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\ &quot;Pts&quot;;[Red]\-#,##0.00\ &quot;Pts&quot;"/>
    <numFmt numFmtId="165" formatCode="_(* #,##0_);_(* \(#,##0\);_(* &quot;-&quot;??_);_(@_)"/>
    <numFmt numFmtId="166" formatCode="_(* #,##0.00_);_(* \(#,##0.00\);_(* &quot;-&quot;??_);_(@_)"/>
    <numFmt numFmtId="167" formatCode="_-* #,##0_-;\-* #,##0_-;_-* &quot;-&quot;??_-;_-@_-"/>
    <numFmt numFmtId="168" formatCode="#,##0_ ;\-#,##0\ "/>
    <numFmt numFmtId="169" formatCode="_-[$€-2]* #,##0.00_-;\-[$€-2]* #,##0.00_-;_-[$€-2]* &quot;-&quot;??_-"/>
    <numFmt numFmtId="170" formatCode="0.0000000000%"/>
    <numFmt numFmtId="171" formatCode="0.0000%"/>
    <numFmt numFmtId="172" formatCode="0.000000%"/>
    <numFmt numFmtId="173" formatCode="#,##0_ ;[Red]\-#,##0\ 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sz val="8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u/>
      <sz val="12"/>
      <name val="Arial"/>
      <family val="2"/>
    </font>
    <font>
      <b/>
      <u val="double"/>
      <sz val="12"/>
      <name val="Arial"/>
      <family val="2"/>
    </font>
    <font>
      <u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sz val="10.5"/>
      <name val="MS Sans Serif"/>
      <family val="2"/>
    </font>
    <font>
      <b/>
      <u/>
      <sz val="15"/>
      <color indexed="9"/>
      <name val="Arial"/>
      <family val="2"/>
    </font>
    <font>
      <b/>
      <sz val="15"/>
      <color indexed="9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15"/>
      <name val="Arial"/>
      <family val="2"/>
    </font>
    <font>
      <sz val="8"/>
      <color indexed="8"/>
      <name val="Calibri"/>
      <family val="2"/>
    </font>
    <font>
      <sz val="8"/>
      <color indexed="9"/>
      <name val="Calibri"/>
      <family val="2"/>
    </font>
    <font>
      <sz val="8"/>
      <color indexed="17"/>
      <name val="Calibri"/>
      <family val="2"/>
    </font>
    <font>
      <b/>
      <sz val="8"/>
      <color indexed="52"/>
      <name val="Calibri"/>
      <family val="2"/>
    </font>
    <font>
      <b/>
      <sz val="8"/>
      <color indexed="9"/>
      <name val="Calibri"/>
      <family val="2"/>
    </font>
    <font>
      <sz val="8"/>
      <color indexed="52"/>
      <name val="Calibri"/>
      <family val="2"/>
    </font>
    <font>
      <b/>
      <sz val="11"/>
      <color indexed="56"/>
      <name val="Calibri"/>
      <family val="2"/>
    </font>
    <font>
      <sz val="8"/>
      <color indexed="62"/>
      <name val="Calibri"/>
      <family val="2"/>
    </font>
    <font>
      <sz val="8"/>
      <color indexed="20"/>
      <name val="Calibri"/>
      <family val="2"/>
    </font>
    <font>
      <sz val="8"/>
      <color indexed="60"/>
      <name val="Calibri"/>
      <family val="2"/>
    </font>
    <font>
      <b/>
      <sz val="8"/>
      <color indexed="63"/>
      <name val="Calibri"/>
      <family val="2"/>
    </font>
    <font>
      <sz val="8"/>
      <color indexed="10"/>
      <name val="Calibri"/>
      <family val="2"/>
    </font>
    <font>
      <i/>
      <sz val="8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color indexed="8"/>
      <name val="Calibri"/>
      <family val="2"/>
    </font>
    <font>
      <b/>
      <sz val="16"/>
      <name val="Arial"/>
      <family val="2"/>
    </font>
    <font>
      <u/>
      <sz val="13"/>
      <name val="Arial"/>
      <family val="2"/>
    </font>
    <font>
      <u/>
      <sz val="15"/>
      <color indexed="9"/>
      <name val="Arial"/>
      <family val="2"/>
    </font>
    <font>
      <sz val="15"/>
      <name val="Arial"/>
      <family val="2"/>
    </font>
    <font>
      <u val="double"/>
      <sz val="10"/>
      <name val="Arial"/>
      <family val="2"/>
    </font>
    <font>
      <sz val="15"/>
      <color indexed="9"/>
      <name val="Arial"/>
      <family val="2"/>
    </font>
    <font>
      <b/>
      <sz val="7"/>
      <name val="Verdana"/>
      <family val="2"/>
    </font>
    <font>
      <b/>
      <sz val="7"/>
      <color indexed="9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10"/>
      <name val="Calibri"/>
      <family val="2"/>
    </font>
    <font>
      <sz val="12"/>
      <name val="Calibri"/>
      <family val="2"/>
    </font>
    <font>
      <b/>
      <sz val="8"/>
      <name val="Arial"/>
      <family val="2"/>
    </font>
    <font>
      <sz val="10.1"/>
      <name val="Arial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A7D00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5"/>
      <color theme="3"/>
      <name val="Calibri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1"/>
      <color rgb="FF444444"/>
      <name val="Calibri"/>
      <family val="2"/>
    </font>
    <font>
      <sz val="14"/>
      <name val="Calibri"/>
      <family val="2"/>
    </font>
    <font>
      <sz val="10"/>
      <color theme="1"/>
      <name val="Calibri"/>
      <family val="2"/>
      <scheme val="minor"/>
    </font>
    <font>
      <sz val="6.5"/>
      <color indexed="8"/>
      <name val="Microsoft Sans Serif"/>
      <family val="2"/>
    </font>
    <font>
      <sz val="11"/>
      <name val="Calibri"/>
      <family val="2"/>
    </font>
    <font>
      <sz val="9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A3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64"/>
      </bottom>
      <diagonal/>
    </border>
    <border>
      <left style="thin">
        <color indexed="17"/>
      </left>
      <right style="thin">
        <color indexed="17"/>
      </right>
      <top/>
      <bottom/>
      <diagonal/>
    </border>
    <border>
      <left style="thin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7"/>
      </left>
      <right/>
      <top style="medium">
        <color indexed="64"/>
      </top>
      <bottom style="thin">
        <color indexed="17"/>
      </bottom>
      <diagonal/>
    </border>
    <border>
      <left/>
      <right style="thin">
        <color indexed="17"/>
      </right>
      <top style="medium">
        <color indexed="64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64"/>
      </top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/>
      <diagonal/>
    </border>
    <border>
      <left/>
      <right/>
      <top/>
      <bottom style="thin">
        <color rgb="FF007A37"/>
      </bottom>
      <diagonal/>
    </border>
    <border>
      <left/>
      <right/>
      <top/>
      <bottom style="thin">
        <color rgb="FF007E3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959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9" fillId="17" borderId="2" applyNumberFormat="0" applyAlignment="0" applyProtection="0"/>
    <xf numFmtId="0" fontId="50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169" fontId="9" fillId="0" borderId="0" applyFont="0" applyFill="0" applyBorder="0" applyAlignment="0" applyProtection="0"/>
    <xf numFmtId="0" fontId="53" fillId="3" borderId="0" applyNumberFormat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4" fillId="22" borderId="0" applyNumberFormat="0" applyBorder="0" applyAlignment="0" applyProtection="0"/>
    <xf numFmtId="0" fontId="18" fillId="0" borderId="0"/>
    <xf numFmtId="0" fontId="9" fillId="23" borderId="4" applyNumberFormat="0" applyFont="0" applyAlignment="0" applyProtection="0"/>
    <xf numFmtId="0" fontId="55" fillId="16" borderId="5" applyNumberFormat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61" fillId="0" borderId="9" applyNumberFormat="0" applyFill="0" applyAlignment="0" applyProtection="0"/>
    <xf numFmtId="0" fontId="72" fillId="6" borderId="0" applyNumberFormat="0" applyBorder="0" applyAlignment="0" applyProtection="0"/>
    <xf numFmtId="0" fontId="72" fillId="2" borderId="0" applyNumberFormat="0" applyBorder="0" applyAlignment="0" applyProtection="0"/>
    <xf numFmtId="0" fontId="72" fillId="3" borderId="0" applyNumberFormat="0" applyBorder="0" applyAlignment="0" applyProtection="0"/>
    <xf numFmtId="0" fontId="72" fillId="4" borderId="0" applyNumberFormat="0" applyBorder="0" applyAlignment="0" applyProtection="0"/>
    <xf numFmtId="0" fontId="72" fillId="5" borderId="0" applyNumberFormat="0" applyBorder="0" applyAlignment="0" applyProtection="0"/>
    <xf numFmtId="0" fontId="72" fillId="6" borderId="0" applyNumberFormat="0" applyBorder="0" applyAlignment="0" applyProtection="0"/>
    <xf numFmtId="0" fontId="72" fillId="7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72" fillId="8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4" fillId="4" borderId="0" applyNumberFormat="0" applyBorder="0" applyAlignment="0" applyProtection="0"/>
    <xf numFmtId="0" fontId="75" fillId="16" borderId="1" applyNumberFormat="0" applyAlignment="0" applyProtection="0"/>
    <xf numFmtId="0" fontId="76" fillId="17" borderId="2" applyNumberFormat="0" applyAlignment="0" applyProtection="0"/>
    <xf numFmtId="0" fontId="77" fillId="0" borderId="3" applyNumberFormat="0" applyFill="0" applyAlignment="0" applyProtection="0"/>
    <xf numFmtId="0" fontId="72" fillId="7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21" borderId="0" applyNumberFormat="0" applyBorder="0" applyAlignment="0" applyProtection="0"/>
    <xf numFmtId="0" fontId="78" fillId="7" borderId="1" applyNumberFormat="0" applyAlignment="0" applyProtection="0"/>
    <xf numFmtId="0" fontId="79" fillId="3" borderId="0" applyNumberFormat="0" applyBorder="0" applyAlignment="0" applyProtection="0"/>
    <xf numFmtId="0" fontId="80" fillId="22" borderId="0" applyNumberFormat="0" applyBorder="0" applyAlignment="0" applyProtection="0"/>
    <xf numFmtId="0" fontId="72" fillId="5" borderId="0" applyNumberFormat="0" applyBorder="0" applyAlignment="0" applyProtection="0"/>
    <xf numFmtId="0" fontId="81" fillId="16" borderId="5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4" borderId="0" applyNumberFormat="0" applyBorder="0" applyAlignment="0" applyProtection="0"/>
    <xf numFmtId="0" fontId="72" fillId="3" borderId="0" applyNumberFormat="0" applyBorder="0" applyAlignment="0" applyProtection="0"/>
    <xf numFmtId="0" fontId="72" fillId="2" borderId="0" applyNumberFormat="0" applyBorder="0" applyAlignment="0" applyProtection="0"/>
    <xf numFmtId="0" fontId="84" fillId="0" borderId="9" applyNumberFormat="0" applyFill="0" applyAlignment="0" applyProtection="0"/>
    <xf numFmtId="0" fontId="9" fillId="23" borderId="4" applyNumberFormat="0" applyFont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72" fillId="8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4" fillId="4" borderId="0" applyNumberFormat="0" applyBorder="0" applyAlignment="0" applyProtection="0"/>
    <xf numFmtId="0" fontId="75" fillId="16" borderId="1" applyNumberFormat="0" applyAlignment="0" applyProtection="0"/>
    <xf numFmtId="0" fontId="76" fillId="17" borderId="2" applyNumberFormat="0" applyAlignment="0" applyProtection="0"/>
    <xf numFmtId="0" fontId="77" fillId="0" borderId="3" applyNumberFormat="0" applyFill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21" borderId="0" applyNumberFormat="0" applyBorder="0" applyAlignment="0" applyProtection="0"/>
    <xf numFmtId="0" fontId="78" fillId="7" borderId="1" applyNumberFormat="0" applyAlignment="0" applyProtection="0"/>
    <xf numFmtId="0" fontId="79" fillId="3" borderId="0" applyNumberFormat="0" applyBorder="0" applyAlignment="0" applyProtection="0"/>
    <xf numFmtId="0" fontId="80" fillId="22" borderId="0" applyNumberFormat="0" applyBorder="0" applyAlignment="0" applyProtection="0"/>
    <xf numFmtId="0" fontId="81" fillId="16" borderId="5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9" applyNumberFormat="0" applyFill="0" applyAlignment="0" applyProtection="0"/>
    <xf numFmtId="0" fontId="85" fillId="0" borderId="0"/>
    <xf numFmtId="0" fontId="9" fillId="0" borderId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169" fontId="9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9" fillId="0" borderId="0"/>
    <xf numFmtId="0" fontId="9" fillId="0" borderId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8" fillId="0" borderId="0" applyNumberFormat="0" applyFill="0" applyBorder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5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72" fillId="2" borderId="0" applyNumberFormat="0" applyBorder="0" applyAlignment="0" applyProtection="0"/>
    <xf numFmtId="0" fontId="72" fillId="2" borderId="0" applyNumberFormat="0" applyBorder="0" applyAlignment="0" applyProtection="0"/>
    <xf numFmtId="0" fontId="72" fillId="2" borderId="0" applyNumberFormat="0" applyBorder="0" applyAlignment="0" applyProtection="0"/>
    <xf numFmtId="0" fontId="72" fillId="2" borderId="0" applyNumberFormat="0" applyBorder="0" applyAlignment="0" applyProtection="0"/>
    <xf numFmtId="0" fontId="72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72" fillId="3" borderId="0" applyNumberFormat="0" applyBorder="0" applyAlignment="0" applyProtection="0"/>
    <xf numFmtId="0" fontId="72" fillId="3" borderId="0" applyNumberFormat="0" applyBorder="0" applyAlignment="0" applyProtection="0"/>
    <xf numFmtId="0" fontId="72" fillId="3" borderId="0" applyNumberFormat="0" applyBorder="0" applyAlignment="0" applyProtection="0"/>
    <xf numFmtId="0" fontId="72" fillId="3" borderId="0" applyNumberFormat="0" applyBorder="0" applyAlignment="0" applyProtection="0"/>
    <xf numFmtId="0" fontId="72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8" fillId="0" borderId="0"/>
    <xf numFmtId="0" fontId="9" fillId="0" borderId="0"/>
    <xf numFmtId="0" fontId="8" fillId="0" borderId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72" fillId="6" borderId="0" applyNumberFormat="0" applyBorder="0" applyAlignment="0" applyProtection="0"/>
    <xf numFmtId="0" fontId="72" fillId="6" borderId="0" applyNumberFormat="0" applyBorder="0" applyAlignment="0" applyProtection="0"/>
    <xf numFmtId="0" fontId="72" fillId="6" borderId="0" applyNumberFormat="0" applyBorder="0" applyAlignment="0" applyProtection="0"/>
    <xf numFmtId="0" fontId="72" fillId="6" borderId="0" applyNumberFormat="0" applyBorder="0" applyAlignment="0" applyProtection="0"/>
    <xf numFmtId="0" fontId="72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72" fillId="11" borderId="0" applyNumberFormat="0" applyBorder="0" applyAlignment="0" applyProtection="0"/>
    <xf numFmtId="0" fontId="72" fillId="11" borderId="0" applyNumberFormat="0" applyBorder="0" applyAlignment="0" applyProtection="0"/>
    <xf numFmtId="0" fontId="72" fillId="11" borderId="0" applyNumberFormat="0" applyBorder="0" applyAlignment="0" applyProtection="0"/>
    <xf numFmtId="0" fontId="72" fillId="11" borderId="0" applyNumberFormat="0" applyBorder="0" applyAlignment="0" applyProtection="0"/>
    <xf numFmtId="0" fontId="72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75" fillId="16" borderId="1" applyNumberFormat="0" applyAlignment="0" applyProtection="0"/>
    <xf numFmtId="0" fontId="75" fillId="16" borderId="1" applyNumberFormat="0" applyAlignment="0" applyProtection="0"/>
    <xf numFmtId="0" fontId="75" fillId="16" borderId="1" applyNumberFormat="0" applyAlignment="0" applyProtection="0"/>
    <xf numFmtId="0" fontId="75" fillId="16" borderId="1" applyNumberFormat="0" applyAlignment="0" applyProtection="0"/>
    <xf numFmtId="0" fontId="75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76" fillId="17" borderId="2" applyNumberFormat="0" applyAlignment="0" applyProtection="0"/>
    <xf numFmtId="0" fontId="76" fillId="17" borderId="2" applyNumberFormat="0" applyAlignment="0" applyProtection="0"/>
    <xf numFmtId="0" fontId="76" fillId="17" borderId="2" applyNumberFormat="0" applyAlignment="0" applyProtection="0"/>
    <xf numFmtId="0" fontId="76" fillId="17" borderId="2" applyNumberFormat="0" applyAlignment="0" applyProtection="0"/>
    <xf numFmtId="0" fontId="76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77" fillId="0" borderId="3" applyNumberFormat="0" applyFill="0" applyAlignment="0" applyProtection="0"/>
    <xf numFmtId="0" fontId="77" fillId="0" borderId="3" applyNumberFormat="0" applyFill="0" applyAlignment="0" applyProtection="0"/>
    <xf numFmtId="0" fontId="77" fillId="0" borderId="3" applyNumberFormat="0" applyFill="0" applyAlignment="0" applyProtection="0"/>
    <xf numFmtId="0" fontId="77" fillId="0" borderId="3" applyNumberFormat="0" applyFill="0" applyAlignment="0" applyProtection="0"/>
    <xf numFmtId="0" fontId="77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73" fillId="21" borderId="0" applyNumberFormat="0" applyBorder="0" applyAlignment="0" applyProtection="0"/>
    <xf numFmtId="0" fontId="73" fillId="21" borderId="0" applyNumberFormat="0" applyBorder="0" applyAlignment="0" applyProtection="0"/>
    <xf numFmtId="0" fontId="73" fillId="21" borderId="0" applyNumberFormat="0" applyBorder="0" applyAlignment="0" applyProtection="0"/>
    <xf numFmtId="0" fontId="73" fillId="21" borderId="0" applyNumberFormat="0" applyBorder="0" applyAlignment="0" applyProtection="0"/>
    <xf numFmtId="0" fontId="73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78" fillId="7" borderId="1" applyNumberFormat="0" applyAlignment="0" applyProtection="0"/>
    <xf numFmtId="0" fontId="78" fillId="7" borderId="1" applyNumberFormat="0" applyAlignment="0" applyProtection="0"/>
    <xf numFmtId="0" fontId="78" fillId="7" borderId="1" applyNumberFormat="0" applyAlignment="0" applyProtection="0"/>
    <xf numFmtId="0" fontId="78" fillId="7" borderId="1" applyNumberFormat="0" applyAlignment="0" applyProtection="0"/>
    <xf numFmtId="0" fontId="78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9" fillId="23" borderId="4" applyNumberFormat="0" applyFon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81" fillId="16" borderId="5" applyNumberFormat="0" applyAlignment="0" applyProtection="0"/>
    <xf numFmtId="0" fontId="81" fillId="16" borderId="5" applyNumberFormat="0" applyAlignment="0" applyProtection="0"/>
    <xf numFmtId="0" fontId="81" fillId="16" borderId="5" applyNumberFormat="0" applyAlignment="0" applyProtection="0"/>
    <xf numFmtId="0" fontId="81" fillId="16" borderId="5" applyNumberFormat="0" applyAlignment="0" applyProtection="0"/>
    <xf numFmtId="0" fontId="81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7" fillId="0" borderId="0"/>
    <xf numFmtId="0" fontId="7" fillId="0" borderId="0"/>
    <xf numFmtId="0" fontId="92" fillId="30" borderId="0" applyNumberFormat="0" applyBorder="0" applyAlignment="0" applyProtection="0"/>
    <xf numFmtId="0" fontId="92" fillId="31" borderId="0" applyNumberFormat="0" applyBorder="0" applyAlignment="0" applyProtection="0"/>
    <xf numFmtId="0" fontId="92" fillId="32" borderId="0" applyNumberFormat="0" applyBorder="0" applyAlignment="0" applyProtection="0"/>
    <xf numFmtId="0" fontId="92" fillId="33" borderId="0" applyNumberFormat="0" applyBorder="0" applyAlignment="0" applyProtection="0"/>
    <xf numFmtId="0" fontId="92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92" fillId="37" borderId="0" applyNumberFormat="0" applyBorder="0" applyAlignment="0" applyProtection="0"/>
    <xf numFmtId="0" fontId="92" fillId="38" borderId="0" applyNumberFormat="0" applyBorder="0" applyAlignment="0" applyProtection="0"/>
    <xf numFmtId="0" fontId="92" fillId="39" borderId="0" applyNumberFormat="0" applyBorder="0" applyAlignment="0" applyProtection="0"/>
    <xf numFmtId="0" fontId="92" fillId="40" borderId="0" applyNumberFormat="0" applyBorder="0" applyAlignment="0" applyProtection="0"/>
    <xf numFmtId="0" fontId="92" fillId="41" borderId="0" applyNumberFormat="0" applyBorder="0" applyAlignment="0" applyProtection="0"/>
    <xf numFmtId="0" fontId="93" fillId="42" borderId="0" applyNumberFormat="0" applyBorder="0" applyAlignment="0" applyProtection="0"/>
    <xf numFmtId="0" fontId="93" fillId="43" borderId="0" applyNumberFormat="0" applyBorder="0" applyAlignment="0" applyProtection="0"/>
    <xf numFmtId="0" fontId="93" fillId="44" borderId="0" applyNumberFormat="0" applyBorder="0" applyAlignment="0" applyProtection="0"/>
    <xf numFmtId="0" fontId="93" fillId="45" borderId="0" applyNumberFormat="0" applyBorder="0" applyAlignment="0" applyProtection="0"/>
    <xf numFmtId="0" fontId="93" fillId="46" borderId="0" applyNumberFormat="0" applyBorder="0" applyAlignment="0" applyProtection="0"/>
    <xf numFmtId="0" fontId="93" fillId="47" borderId="0" applyNumberFormat="0" applyBorder="0" applyAlignment="0" applyProtection="0"/>
    <xf numFmtId="0" fontId="94" fillId="48" borderId="0" applyNumberFormat="0" applyBorder="0" applyAlignment="0" applyProtection="0"/>
    <xf numFmtId="0" fontId="95" fillId="49" borderId="20" applyNumberFormat="0" applyAlignment="0" applyProtection="0"/>
    <xf numFmtId="0" fontId="96" fillId="50" borderId="21" applyNumberFormat="0" applyAlignment="0" applyProtection="0"/>
    <xf numFmtId="0" fontId="97" fillId="0" borderId="22" applyNumberFormat="0" applyFill="0" applyAlignment="0" applyProtection="0"/>
    <xf numFmtId="0" fontId="98" fillId="0" borderId="0" applyNumberFormat="0" applyFill="0" applyBorder="0" applyAlignment="0" applyProtection="0"/>
    <xf numFmtId="0" fontId="93" fillId="51" borderId="0" applyNumberFormat="0" applyBorder="0" applyAlignment="0" applyProtection="0"/>
    <xf numFmtId="0" fontId="93" fillId="52" borderId="0" applyNumberFormat="0" applyBorder="0" applyAlignment="0" applyProtection="0"/>
    <xf numFmtId="0" fontId="93" fillId="53" borderId="0" applyNumberFormat="0" applyBorder="0" applyAlignment="0" applyProtection="0"/>
    <xf numFmtId="0" fontId="93" fillId="54" borderId="0" applyNumberFormat="0" applyBorder="0" applyAlignment="0" applyProtection="0"/>
    <xf numFmtId="0" fontId="93" fillId="55" borderId="0" applyNumberFormat="0" applyBorder="0" applyAlignment="0" applyProtection="0"/>
    <xf numFmtId="0" fontId="93" fillId="56" borderId="0" applyNumberFormat="0" applyBorder="0" applyAlignment="0" applyProtection="0"/>
    <xf numFmtId="0" fontId="99" fillId="57" borderId="20" applyNumberFormat="0" applyAlignment="0" applyProtection="0"/>
    <xf numFmtId="0" fontId="100" fillId="58" borderId="0" applyNumberFormat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01" fillId="59" borderId="0" applyNumberFormat="0" applyBorder="0" applyAlignment="0" applyProtection="0"/>
    <xf numFmtId="0" fontId="9" fillId="0" borderId="0"/>
    <xf numFmtId="0" fontId="9" fillId="0" borderId="0"/>
    <xf numFmtId="0" fontId="92" fillId="0" borderId="0"/>
    <xf numFmtId="0" fontId="92" fillId="60" borderId="23" applyNumberFormat="0" applyFont="0" applyAlignment="0" applyProtection="0"/>
    <xf numFmtId="0" fontId="102" fillId="49" borderId="24" applyNumberFormat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25" applyNumberFormat="0" applyFill="0" applyAlignment="0" applyProtection="0"/>
    <xf numFmtId="0" fontId="106" fillId="0" borderId="0" applyNumberFormat="0" applyFill="0" applyBorder="0" applyAlignment="0" applyProtection="0"/>
    <xf numFmtId="0" fontId="107" fillId="0" borderId="26" applyNumberFormat="0" applyFill="0" applyAlignment="0" applyProtection="0"/>
    <xf numFmtId="0" fontId="98" fillId="0" borderId="27" applyNumberFormat="0" applyFill="0" applyAlignment="0" applyProtection="0"/>
    <xf numFmtId="0" fontId="108" fillId="0" borderId="28" applyNumberFormat="0" applyFill="0" applyAlignment="0" applyProtection="0"/>
    <xf numFmtId="9" fontId="10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43" fontId="72" fillId="0" borderId="0" applyFont="0" applyFill="0" applyBorder="0" applyAlignment="0" applyProtection="0"/>
    <xf numFmtId="0" fontId="3" fillId="0" borderId="0"/>
    <xf numFmtId="43" fontId="72" fillId="0" borderId="0" applyFont="0" applyFill="0" applyBorder="0" applyAlignment="0" applyProtection="0"/>
    <xf numFmtId="0" fontId="2" fillId="0" borderId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15" fillId="0" borderId="0"/>
    <xf numFmtId="0" fontId="2" fillId="0" borderId="0"/>
    <xf numFmtId="0" fontId="1" fillId="0" borderId="0"/>
  </cellStyleXfs>
  <cellXfs count="668">
    <xf numFmtId="0" fontId="0" fillId="0" borderId="0" xfId="0"/>
    <xf numFmtId="0" fontId="0" fillId="0" borderId="0" xfId="0" applyFill="1"/>
    <xf numFmtId="0" fontId="12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3" fontId="16" fillId="0" borderId="0" xfId="0" applyNumberFormat="1" applyFont="1" applyBorder="1"/>
    <xf numFmtId="0" fontId="16" fillId="0" borderId="0" xfId="0" applyFont="1" applyBorder="1"/>
    <xf numFmtId="0" fontId="17" fillId="0" borderId="0" xfId="0" applyFont="1" applyBorder="1" applyAlignment="1">
      <alignment horizontal="center"/>
    </xf>
    <xf numFmtId="167" fontId="19" fillId="0" borderId="0" xfId="33" applyNumberFormat="1" applyFont="1" applyFill="1"/>
    <xf numFmtId="0" fontId="18" fillId="0" borderId="0" xfId="0" applyFont="1" applyFill="1"/>
    <xf numFmtId="165" fontId="19" fillId="0" borderId="0" xfId="33" applyNumberFormat="1" applyFont="1" applyFill="1"/>
    <xf numFmtId="3" fontId="17" fillId="0" borderId="0" xfId="0" applyNumberFormat="1" applyFont="1" applyBorder="1" applyAlignment="1">
      <alignment horizontal="center"/>
    </xf>
    <xf numFmtId="0" fontId="20" fillId="0" borderId="0" xfId="0" applyFont="1"/>
    <xf numFmtId="165" fontId="21" fillId="0" borderId="0" xfId="33" applyNumberFormat="1" applyFont="1" applyFill="1"/>
    <xf numFmtId="165" fontId="18" fillId="0" borderId="0" xfId="0" applyNumberFormat="1" applyFont="1" applyFill="1"/>
    <xf numFmtId="43" fontId="22" fillId="0" borderId="0" xfId="33" applyFont="1" applyFill="1"/>
    <xf numFmtId="0" fontId="20" fillId="0" borderId="0" xfId="0" applyFont="1" applyFill="1"/>
    <xf numFmtId="0" fontId="14" fillId="0" borderId="0" xfId="0" applyFont="1" applyBorder="1"/>
    <xf numFmtId="41" fontId="14" fillId="0" borderId="0" xfId="33" applyNumberFormat="1" applyFont="1" applyBorder="1"/>
    <xf numFmtId="3" fontId="14" fillId="0" borderId="0" xfId="0" applyNumberFormat="1" applyFont="1" applyBorder="1"/>
    <xf numFmtId="0" fontId="14" fillId="0" borderId="0" xfId="0" applyFont="1"/>
    <xf numFmtId="0" fontId="14" fillId="0" borderId="0" xfId="0" applyFont="1" applyBorder="1" applyAlignment="1">
      <alignment horizontal="left"/>
    </xf>
    <xf numFmtId="0" fontId="15" fillId="0" borderId="0" xfId="0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 applyFill="1" applyBorder="1" applyAlignment="1">
      <alignment horizontal="right"/>
    </xf>
    <xf numFmtId="43" fontId="23" fillId="0" borderId="0" xfId="33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Fill="1" applyBorder="1"/>
    <xf numFmtId="0" fontId="18" fillId="0" borderId="0" xfId="0" applyFont="1"/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/>
    <xf numFmtId="0" fontId="24" fillId="0" borderId="0" xfId="0" applyFont="1"/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Border="1" applyAlignment="1">
      <alignment horizontal="centerContinuous"/>
    </xf>
    <xf numFmtId="0" fontId="24" fillId="0" borderId="0" xfId="0" applyFont="1" applyBorder="1"/>
    <xf numFmtId="166" fontId="24" fillId="0" borderId="0" xfId="36" applyFont="1"/>
    <xf numFmtId="0" fontId="13" fillId="0" borderId="0" xfId="0" applyFont="1" applyFill="1" applyBorder="1" applyAlignment="1">
      <alignment horizontal="centerContinuous"/>
    </xf>
    <xf numFmtId="0" fontId="26" fillId="0" borderId="0" xfId="0" applyFont="1" applyFill="1" applyBorder="1" applyAlignment="1"/>
    <xf numFmtId="164" fontId="24" fillId="0" borderId="0" xfId="0" applyNumberFormat="1" applyFont="1" applyFill="1" applyBorder="1" applyAlignment="1">
      <alignment horizontal="centerContinuous"/>
    </xf>
    <xf numFmtId="0" fontId="2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4" fillId="0" borderId="0" xfId="0" applyFont="1" applyFill="1" applyBorder="1" applyAlignment="1">
      <alignment horizontal="centerContinuous"/>
    </xf>
    <xf numFmtId="0" fontId="24" fillId="0" borderId="0" xfId="0" applyFont="1" applyBorder="1" applyAlignment="1">
      <alignment vertical="center"/>
    </xf>
    <xf numFmtId="0" fontId="26" fillId="0" borderId="0" xfId="0" applyFont="1" applyFill="1" applyBorder="1" applyAlignment="1">
      <alignment horizontal="centerContinuous" vertical="center"/>
    </xf>
    <xf numFmtId="0" fontId="14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4" fillId="0" borderId="0" xfId="0" applyFont="1" applyAlignment="1">
      <alignment vertical="center"/>
    </xf>
    <xf numFmtId="165" fontId="13" fillId="0" borderId="0" xfId="33" applyNumberFormat="1" applyFont="1" applyBorder="1" applyAlignment="1">
      <alignment vertical="center"/>
    </xf>
    <xf numFmtId="3" fontId="13" fillId="0" borderId="0" xfId="33" applyNumberFormat="1" applyFont="1" applyBorder="1" applyAlignment="1">
      <alignment vertical="center"/>
    </xf>
    <xf numFmtId="165" fontId="13" fillId="0" borderId="0" xfId="33" applyNumberFormat="1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vertical="center"/>
    </xf>
    <xf numFmtId="3" fontId="18" fillId="0" borderId="0" xfId="33" applyNumberFormat="1" applyFont="1" applyBorder="1" applyAlignment="1">
      <alignment vertical="center"/>
    </xf>
    <xf numFmtId="3" fontId="14" fillId="0" borderId="0" xfId="0" applyNumberFormat="1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Fill="1" applyBorder="1" applyAlignment="1">
      <alignment vertical="center"/>
    </xf>
    <xf numFmtId="165" fontId="18" fillId="0" borderId="0" xfId="33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3" fontId="29" fillId="0" borderId="0" xfId="33" applyNumberFormat="1" applyFont="1" applyBorder="1" applyAlignment="1">
      <alignment vertical="center"/>
    </xf>
    <xf numFmtId="3" fontId="30" fillId="0" borderId="0" xfId="33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4" fillId="0" borderId="0" xfId="0" applyFont="1" applyFill="1" applyAlignment="1"/>
    <xf numFmtId="0" fontId="32" fillId="0" borderId="0" xfId="0" applyFont="1"/>
    <xf numFmtId="0" fontId="33" fillId="0" borderId="0" xfId="0" applyFont="1" applyFill="1" applyBorder="1" applyAlignment="1"/>
    <xf numFmtId="0" fontId="32" fillId="0" borderId="0" xfId="0" applyFont="1" applyFill="1"/>
    <xf numFmtId="0" fontId="32" fillId="0" borderId="0" xfId="0" applyFont="1" applyFill="1" applyBorder="1"/>
    <xf numFmtId="0" fontId="33" fillId="0" borderId="0" xfId="0" applyFont="1" applyFill="1" applyBorder="1" applyAlignment="1">
      <alignment horizontal="centerContinuous"/>
    </xf>
    <xf numFmtId="164" fontId="32" fillId="0" borderId="0" xfId="0" applyNumberFormat="1" applyFont="1" applyFill="1" applyBorder="1" applyAlignment="1">
      <alignment horizontal="centerContinuous"/>
    </xf>
    <xf numFmtId="0" fontId="34" fillId="0" borderId="0" xfId="0" applyFont="1" applyBorder="1"/>
    <xf numFmtId="0" fontId="34" fillId="0" borderId="0" xfId="0" applyFont="1"/>
    <xf numFmtId="0" fontId="19" fillId="0" borderId="0" xfId="0" applyFont="1" applyFill="1" applyBorder="1" applyAlignment="1">
      <alignment horizontal="centerContinuous"/>
    </xf>
    <xf numFmtId="0" fontId="19" fillId="0" borderId="0" xfId="0" applyFont="1" applyBorder="1" applyAlignment="1"/>
    <xf numFmtId="3" fontId="19" fillId="0" borderId="0" xfId="33" applyNumberFormat="1" applyFont="1" applyBorder="1"/>
    <xf numFmtId="167" fontId="18" fillId="0" borderId="0" xfId="33" applyNumberFormat="1" applyFont="1" applyAlignment="1">
      <alignment horizontal="right" vertical="center" wrapText="1"/>
    </xf>
    <xf numFmtId="165" fontId="19" fillId="0" borderId="0" xfId="33" applyNumberFormat="1" applyFont="1" applyBorder="1"/>
    <xf numFmtId="165" fontId="18" fillId="0" borderId="0" xfId="33" applyNumberFormat="1" applyFont="1" applyBorder="1"/>
    <xf numFmtId="3" fontId="18" fillId="0" borderId="0" xfId="33" applyNumberFormat="1" applyFont="1" applyBorder="1"/>
    <xf numFmtId="165" fontId="18" fillId="0" borderId="0" xfId="33" applyNumberFormat="1" applyFont="1" applyBorder="1" applyAlignment="1">
      <alignment horizontal="center"/>
    </xf>
    <xf numFmtId="0" fontId="19" fillId="0" borderId="0" xfId="0" applyFont="1" applyFill="1" applyBorder="1"/>
    <xf numFmtId="165" fontId="31" fillId="0" borderId="0" xfId="33" applyNumberFormat="1" applyFont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165" fontId="34" fillId="0" borderId="0" xfId="33" applyNumberFormat="1" applyFont="1" applyBorder="1"/>
    <xf numFmtId="3" fontId="34" fillId="0" borderId="0" xfId="33" applyNumberFormat="1" applyFont="1" applyBorder="1"/>
    <xf numFmtId="0" fontId="34" fillId="0" borderId="0" xfId="0" applyFont="1" applyBorder="1" applyAlignment="1">
      <alignment horizontal="center"/>
    </xf>
    <xf numFmtId="4" fontId="18" fillId="0" borderId="0" xfId="0" applyNumberFormat="1" applyFont="1"/>
    <xf numFmtId="0" fontId="35" fillId="0" borderId="0" xfId="0" applyFont="1"/>
    <xf numFmtId="4" fontId="34" fillId="0" borderId="0" xfId="35" applyNumberFormat="1" applyFont="1" applyFill="1" applyBorder="1"/>
    <xf numFmtId="4" fontId="34" fillId="0" borderId="0" xfId="0" applyNumberFormat="1" applyFont="1" applyBorder="1"/>
    <xf numFmtId="0" fontId="34" fillId="0" borderId="0" xfId="0" applyFont="1" applyFill="1" applyBorder="1"/>
    <xf numFmtId="4" fontId="34" fillId="0" borderId="0" xfId="0" applyNumberFormat="1" applyFont="1"/>
    <xf numFmtId="0" fontId="34" fillId="0" borderId="0" xfId="0" applyFont="1" applyBorder="1" applyAlignment="1">
      <alignment vertical="center"/>
    </xf>
    <xf numFmtId="4" fontId="34" fillId="0" borderId="0" xfId="35" applyNumberFormat="1" applyFont="1" applyBorder="1" applyAlignment="1"/>
    <xf numFmtId="3" fontId="35" fillId="0" borderId="0" xfId="33" applyNumberFormat="1" applyFont="1" applyBorder="1"/>
    <xf numFmtId="0" fontId="35" fillId="0" borderId="0" xfId="0" applyFont="1" applyFill="1" applyBorder="1"/>
    <xf numFmtId="0" fontId="34" fillId="0" borderId="0" xfId="0" applyFont="1" applyAlignment="1">
      <alignment vertical="center"/>
    </xf>
    <xf numFmtId="0" fontId="35" fillId="0" borderId="0" xfId="0" applyFont="1" applyBorder="1" applyAlignment="1">
      <alignment horizontal="left" vertical="center"/>
    </xf>
    <xf numFmtId="4" fontId="32" fillId="0" borderId="0" xfId="0" applyNumberFormat="1" applyFont="1"/>
    <xf numFmtId="0" fontId="34" fillId="0" borderId="0" xfId="0" applyFont="1" applyFill="1" applyBorder="1" applyAlignment="1"/>
    <xf numFmtId="0" fontId="36" fillId="0" borderId="0" xfId="0" applyFont="1" applyBorder="1"/>
    <xf numFmtId="0" fontId="36" fillId="0" borderId="0" xfId="0" applyFont="1" applyFill="1" applyBorder="1"/>
    <xf numFmtId="4" fontId="34" fillId="0" borderId="0" xfId="35" applyNumberFormat="1" applyFont="1" applyFill="1" applyBorder="1" applyAlignment="1"/>
    <xf numFmtId="166" fontId="32" fillId="0" borderId="0" xfId="35" applyFont="1"/>
    <xf numFmtId="0" fontId="19" fillId="0" borderId="0" xfId="0" applyFont="1" applyBorder="1" applyAlignment="1">
      <alignment horizontal="center" vertical="center"/>
    </xf>
    <xf numFmtId="3" fontId="34" fillId="0" borderId="0" xfId="0" applyNumberFormat="1" applyFont="1"/>
    <xf numFmtId="0" fontId="26" fillId="0" borderId="0" xfId="0" applyFont="1" applyBorder="1" applyAlignment="1">
      <alignment horizontal="left" vertical="center"/>
    </xf>
    <xf numFmtId="165" fontId="39" fillId="0" borderId="0" xfId="33" applyNumberFormat="1" applyFont="1" applyBorder="1" applyAlignment="1">
      <alignment vertical="center"/>
    </xf>
    <xf numFmtId="3" fontId="39" fillId="0" borderId="0" xfId="33" applyNumberFormat="1" applyFont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3" fontId="14" fillId="0" borderId="0" xfId="33" applyNumberFormat="1" applyFont="1" applyBorder="1"/>
    <xf numFmtId="43" fontId="18" fillId="0" borderId="0" xfId="33" applyFont="1" applyBorder="1" applyAlignment="1">
      <alignment horizontal="right" vertical="center" wrapText="1"/>
    </xf>
    <xf numFmtId="0" fontId="19" fillId="0" borderId="0" xfId="0" applyFont="1" applyAlignment="1">
      <alignment vertical="center"/>
    </xf>
    <xf numFmtId="3" fontId="19" fillId="0" borderId="0" xfId="33" applyNumberFormat="1" applyFont="1" applyBorder="1" applyAlignment="1">
      <alignment vertical="center"/>
    </xf>
    <xf numFmtId="3" fontId="19" fillId="0" borderId="0" xfId="0" applyNumberFormat="1" applyFont="1" applyAlignment="1">
      <alignment vertical="center"/>
    </xf>
    <xf numFmtId="0" fontId="19" fillId="0" borderId="0" xfId="0" applyFont="1" applyBorder="1" applyAlignment="1">
      <alignment vertical="center"/>
    </xf>
    <xf numFmtId="165" fontId="19" fillId="0" borderId="0" xfId="33" applyNumberFormat="1" applyFont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43" fontId="18" fillId="0" borderId="0" xfId="33" applyFont="1" applyAlignment="1">
      <alignment horizontal="right" wrapText="1"/>
    </xf>
    <xf numFmtId="165" fontId="19" fillId="0" borderId="0" xfId="33" applyNumberFormat="1" applyFont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165" fontId="27" fillId="0" borderId="0" xfId="36" applyNumberFormat="1" applyFont="1" applyFill="1" applyBorder="1" applyAlignment="1">
      <alignment vertical="center"/>
    </xf>
    <xf numFmtId="165" fontId="12" fillId="0" borderId="0" xfId="36" applyNumberFormat="1" applyFont="1" applyBorder="1" applyAlignment="1">
      <alignment vertical="center"/>
    </xf>
    <xf numFmtId="165" fontId="27" fillId="0" borderId="0" xfId="36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7" fillId="0" borderId="0" xfId="0" applyFont="1" applyAlignment="1">
      <alignment vertical="center"/>
    </xf>
    <xf numFmtId="165" fontId="12" fillId="0" borderId="0" xfId="33" applyNumberFormat="1" applyFont="1" applyBorder="1" applyAlignment="1">
      <alignment vertical="center"/>
    </xf>
    <xf numFmtId="3" fontId="12" fillId="0" borderId="0" xfId="33" applyNumberFormat="1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165" fontId="12" fillId="0" borderId="0" xfId="33" applyNumberFormat="1" applyFont="1" applyBorder="1" applyAlignment="1">
      <alignment horizontal="center" vertical="center"/>
    </xf>
    <xf numFmtId="3" fontId="27" fillId="0" borderId="0" xfId="33" applyNumberFormat="1" applyFont="1" applyBorder="1" applyAlignment="1">
      <alignment vertical="center"/>
    </xf>
    <xf numFmtId="43" fontId="27" fillId="0" borderId="0" xfId="33" applyFont="1" applyAlignment="1">
      <alignment horizontal="right" wrapText="1"/>
    </xf>
    <xf numFmtId="0" fontId="27" fillId="0" borderId="0" xfId="0" applyFont="1" applyFill="1" applyBorder="1" applyAlignment="1">
      <alignment horizontal="center" vertical="center"/>
    </xf>
    <xf numFmtId="165" fontId="27" fillId="0" borderId="0" xfId="36" applyNumberFormat="1" applyFont="1" applyFill="1" applyBorder="1" applyAlignment="1">
      <alignment horizontal="center" vertical="center"/>
    </xf>
    <xf numFmtId="165" fontId="12" fillId="0" borderId="0" xfId="36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165" fontId="27" fillId="0" borderId="0" xfId="33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3" fontId="12" fillId="0" borderId="0" xfId="0" applyNumberFormat="1" applyFont="1" applyAlignment="1">
      <alignment vertical="center"/>
    </xf>
    <xf numFmtId="0" fontId="15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centerContinuous"/>
    </xf>
    <xf numFmtId="0" fontId="42" fillId="0" borderId="0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horizontal="left"/>
    </xf>
    <xf numFmtId="49" fontId="42" fillId="0" borderId="0" xfId="0" applyNumberFormat="1" applyFont="1" applyFill="1" applyBorder="1" applyAlignment="1"/>
    <xf numFmtId="0" fontId="43" fillId="0" borderId="0" xfId="0" applyFont="1"/>
    <xf numFmtId="0" fontId="42" fillId="0" borderId="0" xfId="0" applyFont="1" applyFill="1" applyBorder="1" applyAlignment="1">
      <alignment horizontal="center"/>
    </xf>
    <xf numFmtId="0" fontId="24" fillId="0" borderId="0" xfId="0" applyFont="1" applyBorder="1" applyAlignment="1"/>
    <xf numFmtId="0" fontId="24" fillId="0" borderId="0" xfId="0" applyFont="1" applyAlignment="1"/>
    <xf numFmtId="0" fontId="42" fillId="0" borderId="0" xfId="0" applyFont="1" applyFill="1" applyBorder="1" applyAlignment="1">
      <alignment horizontal="center" vertical="justify" wrapText="1"/>
    </xf>
    <xf numFmtId="0" fontId="9" fillId="0" borderId="0" xfId="0" applyFont="1"/>
    <xf numFmtId="0" fontId="9" fillId="0" borderId="0" xfId="0" applyFont="1" applyFill="1"/>
    <xf numFmtId="0" fontId="19" fillId="0" borderId="0" xfId="0" applyFont="1"/>
    <xf numFmtId="0" fontId="19" fillId="0" borderId="0" xfId="0" applyFont="1" applyFill="1"/>
    <xf numFmtId="3" fontId="15" fillId="0" borderId="0" xfId="0" applyNumberFormat="1" applyFont="1" applyFill="1" applyBorder="1" applyAlignment="1">
      <alignment horizontal="right"/>
    </xf>
    <xf numFmtId="3" fontId="18" fillId="0" borderId="0" xfId="0" applyNumberFormat="1" applyFont="1" applyFill="1" applyBorder="1"/>
    <xf numFmtId="3" fontId="18" fillId="0" borderId="0" xfId="0" applyNumberFormat="1" applyFont="1" applyFill="1"/>
    <xf numFmtId="3" fontId="14" fillId="0" borderId="0" xfId="0" applyNumberFormat="1" applyFont="1"/>
    <xf numFmtId="3" fontId="24" fillId="0" borderId="0" xfId="0" applyNumberFormat="1" applyFont="1"/>
    <xf numFmtId="3" fontId="24" fillId="0" borderId="0" xfId="0" applyNumberFormat="1" applyFont="1" applyFill="1"/>
    <xf numFmtId="0" fontId="42" fillId="0" borderId="0" xfId="0" applyFont="1" applyFill="1" applyBorder="1" applyAlignment="1">
      <alignment vertical="justify" wrapText="1"/>
    </xf>
    <xf numFmtId="3" fontId="9" fillId="0" borderId="0" xfId="0" applyNumberFormat="1" applyFont="1"/>
    <xf numFmtId="3" fontId="9" fillId="0" borderId="0" xfId="0" applyNumberFormat="1" applyFont="1" applyFill="1"/>
    <xf numFmtId="3" fontId="19" fillId="0" borderId="0" xfId="0" applyNumberFormat="1" applyFont="1"/>
    <xf numFmtId="3" fontId="19" fillId="0" borderId="0" xfId="0" applyNumberFormat="1" applyFont="1" applyFill="1"/>
    <xf numFmtId="3" fontId="18" fillId="0" borderId="0" xfId="0" applyNumberFormat="1" applyFont="1"/>
    <xf numFmtId="0" fontId="13" fillId="0" borderId="0" xfId="0" applyFont="1"/>
    <xf numFmtId="168" fontId="14" fillId="0" borderId="0" xfId="33" applyNumberFormat="1" applyFont="1" applyBorder="1"/>
    <xf numFmtId="0" fontId="14" fillId="0" borderId="0" xfId="0" applyFont="1" applyFill="1" applyBorder="1"/>
    <xf numFmtId="3" fontId="14" fillId="25" borderId="0" xfId="0" applyNumberFormat="1" applyFont="1" applyFill="1"/>
    <xf numFmtId="3" fontId="24" fillId="25" borderId="0" xfId="0" applyNumberFormat="1" applyFont="1" applyFill="1"/>
    <xf numFmtId="0" fontId="14" fillId="0" borderId="0" xfId="0" applyFont="1" applyBorder="1" applyAlignment="1">
      <alignment horizontal="right"/>
    </xf>
    <xf numFmtId="3" fontId="14" fillId="0" borderId="0" xfId="0" applyNumberFormat="1" applyFont="1" applyFill="1"/>
    <xf numFmtId="3" fontId="14" fillId="0" borderId="0" xfId="33" applyNumberFormat="1" applyFont="1" applyBorder="1" applyAlignment="1">
      <alignment horizontal="right"/>
    </xf>
    <xf numFmtId="3" fontId="14" fillId="0" borderId="0" xfId="33" applyNumberFormat="1" applyFont="1" applyBorder="1" applyAlignment="1">
      <alignment horizontal="left"/>
    </xf>
    <xf numFmtId="0" fontId="13" fillId="0" borderId="0" xfId="0" applyFont="1" applyBorder="1" applyAlignment="1">
      <alignment horizontal="center"/>
    </xf>
    <xf numFmtId="3" fontId="18" fillId="0" borderId="0" xfId="0" applyNumberFormat="1" applyFont="1" applyBorder="1"/>
    <xf numFmtId="3" fontId="19" fillId="0" borderId="0" xfId="0" applyNumberFormat="1" applyFont="1" applyBorder="1"/>
    <xf numFmtId="3" fontId="13" fillId="0" borderId="0" xfId="0" applyNumberFormat="1" applyFont="1" applyBorder="1"/>
    <xf numFmtId="0" fontId="40" fillId="0" borderId="0" xfId="0" applyFont="1" applyBorder="1" applyAlignment="1">
      <alignment horizontal="left" vertical="center"/>
    </xf>
    <xf numFmtId="3" fontId="40" fillId="0" borderId="0" xfId="0" applyNumberFormat="1" applyFont="1" applyBorder="1"/>
    <xf numFmtId="3" fontId="40" fillId="0" borderId="0" xfId="33" applyNumberFormat="1" applyFont="1" applyBorder="1"/>
    <xf numFmtId="3" fontId="40" fillId="0" borderId="0" xfId="0" applyNumberFormat="1" applyFont="1" applyFill="1" applyBorder="1"/>
    <xf numFmtId="167" fontId="40" fillId="0" borderId="0" xfId="0" applyNumberFormat="1" applyFont="1" applyBorder="1" applyAlignment="1">
      <alignment horizontal="left" vertical="center"/>
    </xf>
    <xf numFmtId="167" fontId="40" fillId="0" borderId="0" xfId="33" applyNumberFormat="1" applyFont="1" applyBorder="1"/>
    <xf numFmtId="0" fontId="39" fillId="0" borderId="0" xfId="0" applyFont="1" applyBorder="1" applyAlignment="1">
      <alignment horizontal="left" vertical="center"/>
    </xf>
    <xf numFmtId="3" fontId="63" fillId="0" borderId="0" xfId="33" applyNumberFormat="1" applyFont="1" applyBorder="1"/>
    <xf numFmtId="3" fontId="40" fillId="0" borderId="0" xfId="0" applyNumberFormat="1" applyFont="1" applyBorder="1" applyAlignment="1">
      <alignment horizontal="left" vertical="center"/>
    </xf>
    <xf numFmtId="0" fontId="40" fillId="0" borderId="0" xfId="0" applyFont="1" applyBorder="1"/>
    <xf numFmtId="41" fontId="40" fillId="0" borderId="0" xfId="0" applyNumberFormat="1" applyFont="1" applyBorder="1"/>
    <xf numFmtId="0" fontId="39" fillId="0" borderId="0" xfId="0" applyFont="1" applyBorder="1"/>
    <xf numFmtId="0" fontId="18" fillId="0" borderId="0" xfId="0" applyFont="1" applyBorder="1" applyAlignment="1">
      <alignment horizontal="left" vertical="center"/>
    </xf>
    <xf numFmtId="41" fontId="18" fillId="0" borderId="0" xfId="0" applyNumberFormat="1" applyFont="1" applyBorder="1"/>
    <xf numFmtId="3" fontId="18" fillId="0" borderId="0" xfId="0" applyNumberFormat="1" applyFont="1" applyBorder="1" applyAlignment="1">
      <alignment horizontal="left" vertical="center"/>
    </xf>
    <xf numFmtId="3" fontId="31" fillId="0" borderId="0" xfId="0" applyNumberFormat="1" applyFont="1" applyBorder="1"/>
    <xf numFmtId="0" fontId="65" fillId="0" borderId="0" xfId="0" applyFont="1" applyBorder="1" applyAlignment="1">
      <alignment horizontal="left" vertical="center"/>
    </xf>
    <xf numFmtId="41" fontId="14" fillId="0" borderId="0" xfId="0" applyNumberFormat="1" applyFont="1" applyBorder="1"/>
    <xf numFmtId="0" fontId="40" fillId="0" borderId="0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41" fontId="66" fillId="0" borderId="0" xfId="0" applyNumberFormat="1" applyFont="1" applyBorder="1"/>
    <xf numFmtId="3" fontId="66" fillId="0" borderId="0" xfId="0" applyNumberFormat="1" applyFont="1" applyBorder="1"/>
    <xf numFmtId="0" fontId="19" fillId="0" borderId="0" xfId="0" applyFont="1" applyBorder="1" applyAlignment="1">
      <alignment horizontal="left" vertical="center"/>
    </xf>
    <xf numFmtId="167" fontId="18" fillId="0" borderId="0" xfId="33" applyNumberFormat="1" applyFont="1" applyBorder="1"/>
    <xf numFmtId="167" fontId="65" fillId="0" borderId="0" xfId="33" applyNumberFormat="1" applyFont="1" applyBorder="1"/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3" fontId="67" fillId="24" borderId="0" xfId="0" applyNumberFormat="1" applyFont="1" applyFill="1" applyBorder="1"/>
    <xf numFmtId="3" fontId="65" fillId="0" borderId="0" xfId="0" applyNumberFormat="1" applyFont="1" applyBorder="1"/>
    <xf numFmtId="3" fontId="65" fillId="0" borderId="0" xfId="0" applyNumberFormat="1" applyFont="1" applyBorder="1" applyAlignment="1">
      <alignment horizontal="right"/>
    </xf>
    <xf numFmtId="3" fontId="14" fillId="0" borderId="0" xfId="0" applyNumberFormat="1" applyFont="1" applyBorder="1" applyAlignment="1">
      <alignment horizontal="right"/>
    </xf>
    <xf numFmtId="3" fontId="14" fillId="0" borderId="0" xfId="0" applyNumberFormat="1" applyFont="1" applyFill="1" applyBorder="1"/>
    <xf numFmtId="4" fontId="14" fillId="0" borderId="0" xfId="0" applyNumberFormat="1" applyFont="1" applyBorder="1" applyAlignment="1">
      <alignment horizontal="left"/>
    </xf>
    <xf numFmtId="0" fontId="14" fillId="0" borderId="0" xfId="0" applyFont="1" applyAlignment="1">
      <alignment horizontal="center"/>
    </xf>
    <xf numFmtId="1" fontId="14" fillId="0" borderId="0" xfId="0" applyNumberFormat="1" applyFont="1" applyAlignment="1">
      <alignment horizontal="center"/>
    </xf>
    <xf numFmtId="1" fontId="14" fillId="0" borderId="0" xfId="33" applyNumberFormat="1" applyFont="1" applyBorder="1" applyAlignment="1">
      <alignment horizontal="center"/>
    </xf>
    <xf numFmtId="4" fontId="71" fillId="0" borderId="11" xfId="0" applyNumberFormat="1" applyFont="1" applyBorder="1" applyAlignment="1">
      <alignment horizontal="right" vertical="top" wrapText="1"/>
    </xf>
    <xf numFmtId="4" fontId="71" fillId="0" borderId="12" xfId="0" applyNumberFormat="1" applyFont="1" applyBorder="1" applyAlignment="1">
      <alignment horizontal="right" vertical="top" wrapText="1"/>
    </xf>
    <xf numFmtId="10" fontId="19" fillId="0" borderId="0" xfId="0" applyNumberFormat="1" applyFont="1"/>
    <xf numFmtId="4" fontId="19" fillId="0" borderId="0" xfId="0" applyNumberFormat="1" applyFont="1"/>
    <xf numFmtId="4" fontId="71" fillId="0" borderId="0" xfId="0" applyNumberFormat="1" applyFont="1" applyBorder="1" applyAlignment="1">
      <alignment horizontal="right" vertical="top" wrapText="1"/>
    </xf>
    <xf numFmtId="168" fontId="14" fillId="0" borderId="0" xfId="0" applyNumberFormat="1" applyFont="1" applyBorder="1"/>
    <xf numFmtId="3" fontId="14" fillId="0" borderId="0" xfId="0" applyNumberFormat="1" applyFont="1" applyFill="1" applyBorder="1" applyAlignment="1">
      <alignment horizontal="left"/>
    </xf>
    <xf numFmtId="0" fontId="13" fillId="0" borderId="0" xfId="0" applyFont="1" applyFill="1"/>
    <xf numFmtId="4" fontId="14" fillId="0" borderId="0" xfId="0" applyNumberFormat="1" applyFont="1"/>
    <xf numFmtId="3" fontId="28" fillId="0" borderId="0" xfId="0" applyNumberFormat="1" applyFont="1" applyBorder="1" applyAlignment="1">
      <alignment horizontal="right"/>
    </xf>
    <xf numFmtId="168" fontId="14" fillId="0" borderId="0" xfId="0" applyNumberFormat="1" applyFont="1"/>
    <xf numFmtId="0" fontId="14" fillId="0" borderId="0" xfId="0" applyFont="1" applyFill="1" applyBorder="1" applyAlignment="1">
      <alignment horizontal="center"/>
    </xf>
    <xf numFmtId="3" fontId="15" fillId="24" borderId="0" xfId="0" applyNumberFormat="1" applyFont="1" applyFill="1" applyBorder="1" applyAlignment="1">
      <alignment horizontal="right"/>
    </xf>
    <xf numFmtId="3" fontId="15" fillId="0" borderId="0" xfId="0" applyNumberFormat="1" applyFont="1" applyFill="1" applyBorder="1" applyAlignment="1">
      <alignment horizontal="right"/>
    </xf>
    <xf numFmtId="4" fontId="24" fillId="0" borderId="0" xfId="0" applyNumberFormat="1" applyFont="1"/>
    <xf numFmtId="4" fontId="28" fillId="0" borderId="0" xfId="0" applyNumberFormat="1" applyFont="1" applyAlignment="1">
      <alignment vertical="center"/>
    </xf>
    <xf numFmtId="4" fontId="24" fillId="0" borderId="0" xfId="0" applyNumberFormat="1" applyFont="1" applyFill="1"/>
    <xf numFmtId="10" fontId="9" fillId="0" borderId="0" xfId="0" applyNumberFormat="1" applyFont="1"/>
    <xf numFmtId="0" fontId="10" fillId="0" borderId="0" xfId="0" applyFont="1" applyBorder="1"/>
    <xf numFmtId="3" fontId="10" fillId="0" borderId="0" xfId="0" applyNumberFormat="1" applyFont="1" applyBorder="1"/>
    <xf numFmtId="0" fontId="10" fillId="0" borderId="0" xfId="0" applyFont="1" applyBorder="1" applyAlignment="1">
      <alignment horizontal="center" vertical="justify"/>
    </xf>
    <xf numFmtId="4" fontId="14" fillId="0" borderId="0" xfId="0" applyNumberFormat="1" applyFont="1" applyBorder="1" applyAlignment="1">
      <alignment horizontal="right"/>
    </xf>
    <xf numFmtId="4" fontId="71" fillId="0" borderId="17" xfId="0" applyNumberFormat="1" applyFont="1" applyBorder="1" applyAlignment="1">
      <alignment horizontal="right" vertical="top" wrapText="1"/>
    </xf>
    <xf numFmtId="4" fontId="9" fillId="0" borderId="0" xfId="0" applyNumberFormat="1" applyFont="1"/>
    <xf numFmtId="4" fontId="14" fillId="0" borderId="0" xfId="0" applyNumberFormat="1" applyFont="1" applyAlignment="1">
      <alignment horizontal="right"/>
    </xf>
    <xf numFmtId="165" fontId="9" fillId="0" borderId="0" xfId="0" applyNumberFormat="1" applyFont="1" applyFill="1"/>
    <xf numFmtId="164" fontId="14" fillId="0" borderId="0" xfId="0" applyNumberFormat="1" applyFont="1" applyFill="1" applyBorder="1" applyAlignment="1">
      <alignment horizontal="centerContinuous"/>
    </xf>
    <xf numFmtId="3" fontId="9" fillId="0" borderId="0" xfId="33" applyNumberFormat="1" applyFont="1" applyBorder="1"/>
    <xf numFmtId="4" fontId="14" fillId="0" borderId="0" xfId="0" applyNumberFormat="1" applyFont="1" applyFill="1"/>
    <xf numFmtId="3" fontId="27" fillId="0" borderId="0" xfId="0" applyNumberFormat="1" applyFont="1" applyBorder="1" applyAlignment="1">
      <alignment vertical="center"/>
    </xf>
    <xf numFmtId="4" fontId="18" fillId="0" borderId="0" xfId="0" applyNumberFormat="1" applyFont="1" applyBorder="1" applyAlignment="1">
      <alignment vertical="center"/>
    </xf>
    <xf numFmtId="0" fontId="10" fillId="0" borderId="0" xfId="0" applyFont="1"/>
    <xf numFmtId="3" fontId="18" fillId="0" borderId="0" xfId="0" applyNumberFormat="1" applyFont="1" applyBorder="1" applyAlignment="1">
      <alignment vertical="center"/>
    </xf>
    <xf numFmtId="4" fontId="43" fillId="0" borderId="0" xfId="0" applyNumberFormat="1" applyFont="1"/>
    <xf numFmtId="4" fontId="24" fillId="0" borderId="0" xfId="0" applyNumberFormat="1" applyFont="1" applyAlignment="1"/>
    <xf numFmtId="3" fontId="16" fillId="0" borderId="0" xfId="0" applyNumberFormat="1" applyFont="1" applyFill="1" applyBorder="1"/>
    <xf numFmtId="41" fontId="9" fillId="0" borderId="0" xfId="33" applyNumberFormat="1" applyFont="1" applyBorder="1"/>
    <xf numFmtId="0" fontId="14" fillId="0" borderId="0" xfId="0" applyFont="1" applyFill="1" applyAlignment="1"/>
    <xf numFmtId="0" fontId="14" fillId="0" borderId="0" xfId="122" applyFont="1" applyFill="1"/>
    <xf numFmtId="0" fontId="9" fillId="0" borderId="0" xfId="122"/>
    <xf numFmtId="0" fontId="11" fillId="0" borderId="0" xfId="122" applyFont="1" applyFill="1" applyBorder="1" applyAlignment="1">
      <alignment vertical="center" wrapText="1"/>
    </xf>
    <xf numFmtId="0" fontId="11" fillId="0" borderId="0" xfId="122" applyFont="1" applyFill="1" applyAlignment="1">
      <alignment vertical="center" wrapText="1"/>
    </xf>
    <xf numFmtId="0" fontId="14" fillId="0" borderId="0" xfId="122" applyFont="1" applyFill="1" applyAlignment="1"/>
    <xf numFmtId="0" fontId="13" fillId="0" borderId="0" xfId="122" applyFont="1" applyFill="1" applyBorder="1" applyAlignment="1"/>
    <xf numFmtId="164" fontId="14" fillId="0" borderId="0" xfId="122" applyNumberFormat="1" applyFont="1" applyFill="1" applyBorder="1" applyAlignment="1">
      <alignment horizontal="centerContinuous"/>
    </xf>
    <xf numFmtId="0" fontId="14" fillId="0" borderId="0" xfId="122" applyFont="1" applyFill="1" applyBorder="1" applyAlignment="1">
      <alignment horizontal="centerContinuous"/>
    </xf>
    <xf numFmtId="0" fontId="14" fillId="0" borderId="0" xfId="122" applyFont="1" applyFill="1" applyBorder="1"/>
    <xf numFmtId="0" fontId="13" fillId="0" borderId="0" xfId="122" applyFont="1" applyFill="1" applyBorder="1" applyAlignment="1">
      <alignment horizontal="centerContinuous"/>
    </xf>
    <xf numFmtId="43" fontId="14" fillId="0" borderId="0" xfId="33" applyFont="1" applyFill="1" applyBorder="1" applyAlignment="1">
      <alignment horizontal="centerContinuous"/>
    </xf>
    <xf numFmtId="0" fontId="88" fillId="0" borderId="0" xfId="122" applyFont="1"/>
    <xf numFmtId="167" fontId="0" fillId="0" borderId="0" xfId="33" applyNumberFormat="1" applyFont="1"/>
    <xf numFmtId="167" fontId="9" fillId="0" borderId="0" xfId="122" applyNumberFormat="1"/>
    <xf numFmtId="43" fontId="0" fillId="0" borderId="0" xfId="33" applyFont="1"/>
    <xf numFmtId="164" fontId="14" fillId="0" borderId="0" xfId="122" applyNumberFormat="1" applyFont="1" applyFill="1" applyBorder="1" applyAlignment="1">
      <alignment horizontal="center" vertical="center"/>
    </xf>
    <xf numFmtId="3" fontId="88" fillId="0" borderId="0" xfId="122" applyNumberFormat="1" applyFont="1"/>
    <xf numFmtId="167" fontId="89" fillId="0" borderId="0" xfId="33" applyNumberFormat="1" applyFont="1" applyAlignment="1">
      <alignment horizontal="center"/>
    </xf>
    <xf numFmtId="167" fontId="88" fillId="0" borderId="0" xfId="33" applyNumberFormat="1" applyFont="1"/>
    <xf numFmtId="167" fontId="88" fillId="0" borderId="0" xfId="122" applyNumberFormat="1" applyFont="1"/>
    <xf numFmtId="3" fontId="9" fillId="0" borderId="0" xfId="122" applyNumberFormat="1"/>
    <xf numFmtId="3" fontId="14" fillId="0" borderId="0" xfId="33" applyNumberFormat="1" applyFont="1" applyBorder="1" applyAlignment="1">
      <alignment horizontal="left" vertical="center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13" fillId="0" borderId="0" xfId="0" applyFont="1" applyFill="1" applyBorder="1" applyAlignment="1"/>
    <xf numFmtId="0" fontId="14" fillId="0" borderId="0" xfId="0" applyFont="1" applyFill="1" applyBorder="1" applyAlignment="1">
      <alignment horizontal="centerContinuous"/>
    </xf>
    <xf numFmtId="0" fontId="88" fillId="0" borderId="0" xfId="0" applyFont="1"/>
    <xf numFmtId="0" fontId="88" fillId="0" borderId="0" xfId="0" applyFont="1" applyFill="1"/>
    <xf numFmtId="167" fontId="88" fillId="0" borderId="0" xfId="33" applyNumberFormat="1" applyFont="1" applyFill="1"/>
    <xf numFmtId="167" fontId="0" fillId="0" borderId="0" xfId="0" applyNumberFormat="1" applyFill="1"/>
    <xf numFmtId="3" fontId="15" fillId="0" borderId="0" xfId="0" applyNumberFormat="1" applyFont="1" applyFill="1" applyBorder="1" applyAlignment="1">
      <alignment horizontal="right"/>
    </xf>
    <xf numFmtId="41" fontId="14" fillId="0" borderId="0" xfId="0" applyNumberFormat="1" applyFont="1"/>
    <xf numFmtId="3" fontId="14" fillId="25" borderId="0" xfId="0" applyNumberFormat="1" applyFont="1" applyFill="1" applyBorder="1" applyAlignment="1">
      <alignment horizontal="right"/>
    </xf>
    <xf numFmtId="3" fontId="1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9" fillId="0" borderId="0" xfId="0" applyFont="1"/>
    <xf numFmtId="3" fontId="19" fillId="0" borderId="0" xfId="0" applyNumberFormat="1" applyFont="1"/>
    <xf numFmtId="3" fontId="14" fillId="0" borderId="0" xfId="0" applyNumberFormat="1" applyFont="1" applyFill="1" applyBorder="1"/>
    <xf numFmtId="3" fontId="9" fillId="0" borderId="0" xfId="122" applyNumberFormat="1"/>
    <xf numFmtId="168" fontId="14" fillId="0" borderId="0" xfId="33" applyNumberFormat="1" applyFont="1" applyFill="1" applyBorder="1"/>
    <xf numFmtId="0" fontId="9" fillId="0" borderId="0" xfId="0" applyFont="1" applyBorder="1" applyAlignment="1">
      <alignment vertical="center"/>
    </xf>
    <xf numFmtId="3" fontId="10" fillId="0" borderId="0" xfId="122" applyNumberFormat="1" applyFont="1"/>
    <xf numFmtId="3" fontId="10" fillId="0" borderId="0" xfId="0" applyNumberFormat="1" applyFont="1" applyFill="1"/>
    <xf numFmtId="0" fontId="90" fillId="0" borderId="0" xfId="0" applyFont="1" applyFill="1" applyBorder="1" applyAlignment="1">
      <alignment vertical="center" wrapText="1"/>
    </xf>
    <xf numFmtId="167" fontId="0" fillId="0" borderId="0" xfId="0" applyNumberFormat="1"/>
    <xf numFmtId="3" fontId="0" fillId="0" borderId="0" xfId="0" applyNumberFormat="1"/>
    <xf numFmtId="3" fontId="0" fillId="0" borderId="0" xfId="33" applyNumberFormat="1" applyFont="1"/>
    <xf numFmtId="0" fontId="91" fillId="0" borderId="0" xfId="0" applyFont="1"/>
    <xf numFmtId="4" fontId="28" fillId="0" borderId="0" xfId="0" applyNumberFormat="1" applyFont="1"/>
    <xf numFmtId="0" fontId="14" fillId="0" borderId="0" xfId="286" applyFont="1" applyFill="1"/>
    <xf numFmtId="3" fontId="14" fillId="0" borderId="0" xfId="286" applyNumberFormat="1" applyFont="1" applyFill="1"/>
    <xf numFmtId="0" fontId="14" fillId="0" borderId="0" xfId="286" applyFont="1"/>
    <xf numFmtId="0" fontId="14" fillId="0" borderId="0" xfId="286" applyFont="1" applyBorder="1"/>
    <xf numFmtId="3" fontId="14" fillId="0" borderId="0" xfId="286" applyNumberFormat="1" applyFont="1" applyBorder="1"/>
    <xf numFmtId="0" fontId="9" fillId="0" borderId="0" xfId="286"/>
    <xf numFmtId="0" fontId="12" fillId="0" borderId="0" xfId="286" applyFont="1" applyFill="1" applyBorder="1" applyAlignment="1">
      <alignment horizontal="center"/>
    </xf>
    <xf numFmtId="3" fontId="14" fillId="0" borderId="0" xfId="286" applyNumberFormat="1" applyFont="1" applyFill="1" applyBorder="1" applyAlignment="1">
      <alignment horizontal="left" vertical="center"/>
    </xf>
    <xf numFmtId="0" fontId="14" fillId="0" borderId="0" xfId="286" applyFont="1" applyFill="1" applyBorder="1" applyAlignment="1"/>
    <xf numFmtId="3" fontId="14" fillId="0" borderId="0" xfId="286" applyNumberFormat="1" applyFont="1" applyFill="1" applyBorder="1" applyAlignment="1"/>
    <xf numFmtId="0" fontId="14" fillId="0" borderId="0" xfId="286" applyFont="1" applyFill="1" applyAlignment="1"/>
    <xf numFmtId="0" fontId="14" fillId="0" borderId="0" xfId="286" applyFont="1" applyBorder="1" applyAlignment="1"/>
    <xf numFmtId="3" fontId="14" fillId="0" borderId="0" xfId="286" applyNumberFormat="1" applyFont="1" applyBorder="1" applyAlignment="1"/>
    <xf numFmtId="0" fontId="14" fillId="0" borderId="0" xfId="286" applyFont="1" applyAlignment="1"/>
    <xf numFmtId="0" fontId="15" fillId="0" borderId="0" xfId="286" applyFont="1" applyFill="1" applyBorder="1" applyAlignment="1">
      <alignment horizontal="right"/>
    </xf>
    <xf numFmtId="3" fontId="15" fillId="0" borderId="0" xfId="286" applyNumberFormat="1" applyFont="1" applyFill="1" applyBorder="1" applyAlignment="1">
      <alignment horizontal="right"/>
    </xf>
    <xf numFmtId="0" fontId="23" fillId="0" borderId="0" xfId="286" applyFont="1" applyBorder="1" applyAlignment="1">
      <alignment horizontal="center"/>
    </xf>
    <xf numFmtId="0" fontId="23" fillId="0" borderId="0" xfId="286" applyFont="1" applyFill="1" applyBorder="1" applyAlignment="1">
      <alignment horizontal="center"/>
    </xf>
    <xf numFmtId="0" fontId="14" fillId="0" borderId="0" xfId="286" applyFont="1" applyFill="1" applyBorder="1" applyAlignment="1">
      <alignment horizontal="right"/>
    </xf>
    <xf numFmtId="0" fontId="17" fillId="0" borderId="0" xfId="286" applyFont="1" applyBorder="1" applyAlignment="1">
      <alignment horizontal="center"/>
    </xf>
    <xf numFmtId="3" fontId="17" fillId="0" borderId="0" xfId="286" applyNumberFormat="1" applyFont="1" applyBorder="1" applyAlignment="1">
      <alignment horizontal="center"/>
    </xf>
    <xf numFmtId="0" fontId="20" fillId="0" borderId="0" xfId="286" applyFont="1"/>
    <xf numFmtId="0" fontId="9" fillId="0" borderId="0" xfId="286" applyFill="1"/>
    <xf numFmtId="165" fontId="9" fillId="0" borderId="0" xfId="286" applyNumberFormat="1" applyFont="1" applyFill="1"/>
    <xf numFmtId="0" fontId="9" fillId="0" borderId="0" xfId="286" applyFont="1" applyFill="1"/>
    <xf numFmtId="0" fontId="20" fillId="0" borderId="0" xfId="286" applyFont="1" applyFill="1"/>
    <xf numFmtId="0" fontId="15" fillId="29" borderId="0" xfId="0" applyFont="1" applyFill="1" applyBorder="1" applyAlignment="1">
      <alignment vertical="center"/>
    </xf>
    <xf numFmtId="0" fontId="38" fillId="29" borderId="0" xfId="0" applyFont="1" applyFill="1" applyBorder="1" applyAlignment="1">
      <alignment vertical="center"/>
    </xf>
    <xf numFmtId="0" fontId="38" fillId="29" borderId="0" xfId="0" applyFont="1" applyFill="1" applyBorder="1" applyAlignment="1">
      <alignment horizontal="left" vertical="center"/>
    </xf>
    <xf numFmtId="0" fontId="38" fillId="29" borderId="0" xfId="0" applyFont="1" applyFill="1" applyBorder="1" applyAlignment="1">
      <alignment horizontal="center" vertical="center"/>
    </xf>
    <xf numFmtId="3" fontId="38" fillId="29" borderId="0" xfId="33" applyNumberFormat="1" applyFont="1" applyFill="1" applyBorder="1" applyAlignment="1">
      <alignment vertical="center"/>
    </xf>
    <xf numFmtId="3" fontId="37" fillId="29" borderId="0" xfId="33" applyNumberFormat="1" applyFont="1" applyFill="1" applyBorder="1" applyAlignment="1">
      <alignment vertical="center"/>
    </xf>
    <xf numFmtId="0" fontId="15" fillId="29" borderId="0" xfId="0" applyFont="1" applyFill="1" applyBorder="1" applyAlignment="1">
      <alignment horizontal="center"/>
    </xf>
    <xf numFmtId="3" fontId="15" fillId="29" borderId="0" xfId="33" applyNumberFormat="1" applyFont="1" applyFill="1" applyBorder="1"/>
    <xf numFmtId="0" fontId="15" fillId="29" borderId="0" xfId="0" applyFont="1" applyFill="1" applyBorder="1" applyAlignment="1">
      <alignment horizontal="center" vertical="center"/>
    </xf>
    <xf numFmtId="3" fontId="64" fillId="29" borderId="0" xfId="33" applyNumberFormat="1" applyFont="1" applyFill="1" applyBorder="1"/>
    <xf numFmtId="3" fontId="67" fillId="29" borderId="0" xfId="0" applyNumberFormat="1" applyFont="1" applyFill="1" applyBorder="1"/>
    <xf numFmtId="3" fontId="15" fillId="29" borderId="0" xfId="0" applyNumberFormat="1" applyFont="1" applyFill="1" applyBorder="1" applyAlignment="1">
      <alignment horizontal="right"/>
    </xf>
    <xf numFmtId="0" fontId="42" fillId="29" borderId="0" xfId="0" applyFont="1" applyFill="1" applyBorder="1" applyAlignment="1">
      <alignment horizontal="center" wrapText="1"/>
    </xf>
    <xf numFmtId="14" fontId="42" fillId="29" borderId="0" xfId="0" applyNumberFormat="1" applyFont="1" applyFill="1" applyBorder="1" applyAlignment="1">
      <alignment horizontal="center" vertical="center" wrapText="1"/>
    </xf>
    <xf numFmtId="0" fontId="42" fillId="29" borderId="0" xfId="0" applyFont="1" applyFill="1" applyBorder="1" applyAlignment="1">
      <alignment horizontal="center" vertical="justify" wrapText="1"/>
    </xf>
    <xf numFmtId="0" fontId="42" fillId="29" borderId="0" xfId="0" applyFont="1" applyFill="1" applyBorder="1" applyAlignment="1">
      <alignment horizontal="center" vertical="center" wrapText="1"/>
    </xf>
    <xf numFmtId="0" fontId="69" fillId="29" borderId="10" xfId="0" applyFont="1" applyFill="1" applyBorder="1" applyAlignment="1">
      <alignment horizontal="center" vertical="center" wrapText="1"/>
    </xf>
    <xf numFmtId="0" fontId="42" fillId="29" borderId="0" xfId="0" applyFont="1" applyFill="1" applyBorder="1" applyAlignment="1">
      <alignment horizontal="center" vertical="center"/>
    </xf>
    <xf numFmtId="0" fontId="14" fillId="0" borderId="0" xfId="286" applyFont="1" applyFill="1" applyBorder="1" applyAlignment="1">
      <alignment horizontal="center"/>
    </xf>
    <xf numFmtId="3" fontId="27" fillId="0" borderId="18" xfId="33" applyNumberFormat="1" applyFont="1" applyBorder="1" applyAlignment="1">
      <alignment vertical="center"/>
    </xf>
    <xf numFmtId="3" fontId="18" fillId="0" borderId="18" xfId="33" applyNumberFormat="1" applyFont="1" applyBorder="1" applyAlignment="1">
      <alignment vertical="center"/>
    </xf>
    <xf numFmtId="3" fontId="18" fillId="0" borderId="18" xfId="0" applyNumberFormat="1" applyFont="1" applyBorder="1"/>
    <xf numFmtId="167" fontId="14" fillId="0" borderId="0" xfId="33" applyNumberFormat="1" applyFont="1" applyBorder="1"/>
    <xf numFmtId="167" fontId="14" fillId="0" borderId="0" xfId="33" applyNumberFormat="1" applyFont="1" applyFill="1"/>
    <xf numFmtId="4" fontId="28" fillId="0" borderId="0" xfId="0" applyNumberFormat="1" applyFont="1" applyBorder="1"/>
    <xf numFmtId="4" fontId="28" fillId="0" borderId="0" xfId="0" applyNumberFormat="1" applyFont="1" applyBorder="1" applyAlignment="1">
      <alignment vertical="center"/>
    </xf>
    <xf numFmtId="3" fontId="24" fillId="0" borderId="0" xfId="0" applyNumberFormat="1" applyFont="1" applyBorder="1" applyAlignment="1">
      <alignment vertical="center"/>
    </xf>
    <xf numFmtId="0" fontId="14" fillId="0" borderId="0" xfId="121" applyFont="1" applyBorder="1" applyAlignment="1">
      <alignment vertical="center"/>
    </xf>
    <xf numFmtId="3" fontId="14" fillId="0" borderId="0" xfId="121" applyNumberFormat="1" applyFont="1" applyBorder="1" applyAlignment="1">
      <alignment vertical="center"/>
    </xf>
    <xf numFmtId="0" fontId="14" fillId="0" borderId="0" xfId="121" applyFont="1" applyBorder="1"/>
    <xf numFmtId="3" fontId="40" fillId="0" borderId="0" xfId="0" quotePrefix="1" applyNumberFormat="1" applyFont="1" applyBorder="1"/>
    <xf numFmtId="4" fontId="20" fillId="0" borderId="0" xfId="0" applyNumberFormat="1" applyFont="1"/>
    <xf numFmtId="3" fontId="14" fillId="0" borderId="19" xfId="0" applyNumberFormat="1" applyFont="1" applyBorder="1"/>
    <xf numFmtId="4" fontId="0" fillId="0" borderId="0" xfId="0" applyNumberFormat="1"/>
    <xf numFmtId="4" fontId="13" fillId="0" borderId="0" xfId="0" applyNumberFormat="1" applyFont="1"/>
    <xf numFmtId="0" fontId="15" fillId="29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3" fontId="15" fillId="29" borderId="0" xfId="0" applyNumberFormat="1" applyFont="1" applyFill="1" applyBorder="1" applyAlignment="1">
      <alignment horizontal="right"/>
    </xf>
    <xf numFmtId="168" fontId="14" fillId="0" borderId="19" xfId="0" applyNumberFormat="1" applyFont="1" applyBorder="1"/>
    <xf numFmtId="43" fontId="18" fillId="0" borderId="0" xfId="33" applyFont="1" applyBorder="1"/>
    <xf numFmtId="43" fontId="24" fillId="0" borderId="0" xfId="33" applyFont="1" applyBorder="1"/>
    <xf numFmtId="43" fontId="24" fillId="0" borderId="0" xfId="33" applyFont="1"/>
    <xf numFmtId="43" fontId="9" fillId="0" borderId="0" xfId="33" applyFont="1"/>
    <xf numFmtId="43" fontId="9" fillId="0" borderId="0" xfId="33" applyFont="1" applyBorder="1"/>
    <xf numFmtId="43" fontId="65" fillId="0" borderId="0" xfId="33" applyFont="1"/>
    <xf numFmtId="43" fontId="14" fillId="0" borderId="0" xfId="33" applyFont="1"/>
    <xf numFmtId="43" fontId="20" fillId="0" borderId="0" xfId="33" applyFont="1"/>
    <xf numFmtId="43" fontId="9" fillId="0" borderId="0" xfId="33" applyFont="1" applyFill="1"/>
    <xf numFmtId="43" fontId="9" fillId="0" borderId="0" xfId="33" applyFont="1" applyFill="1" applyBorder="1"/>
    <xf numFmtId="43" fontId="19" fillId="0" borderId="0" xfId="33" applyFont="1" applyFill="1" applyBorder="1"/>
    <xf numFmtId="43" fontId="13" fillId="0" borderId="0" xfId="33" applyFont="1"/>
    <xf numFmtId="43" fontId="14" fillId="0" borderId="0" xfId="33" applyFont="1" applyAlignment="1">
      <alignment vertical="center"/>
    </xf>
    <xf numFmtId="43" fontId="24" fillId="0" borderId="0" xfId="33" applyFont="1" applyAlignment="1">
      <alignment vertical="center"/>
    </xf>
    <xf numFmtId="43" fontId="24" fillId="0" borderId="0" xfId="33" applyFont="1" applyBorder="1" applyAlignment="1">
      <alignment vertical="center"/>
    </xf>
    <xf numFmtId="43" fontId="28" fillId="0" borderId="0" xfId="33" applyFont="1" applyAlignment="1">
      <alignment vertical="center"/>
    </xf>
    <xf numFmtId="3" fontId="9" fillId="61" borderId="0" xfId="0" applyNumberFormat="1" applyFont="1" applyFill="1" applyAlignment="1">
      <alignment vertical="center"/>
    </xf>
    <xf numFmtId="170" fontId="14" fillId="0" borderId="0" xfId="286" applyNumberFormat="1" applyFont="1"/>
    <xf numFmtId="4" fontId="14" fillId="0" borderId="0" xfId="286" applyNumberFormat="1" applyFont="1" applyFill="1"/>
    <xf numFmtId="0" fontId="14" fillId="0" borderId="0" xfId="286" applyFont="1" applyAlignment="1">
      <alignment horizontal="center"/>
    </xf>
    <xf numFmtId="4" fontId="13" fillId="0" borderId="0" xfId="286" applyNumberFormat="1" applyFont="1"/>
    <xf numFmtId="0" fontId="13" fillId="0" borderId="0" xfId="286" applyFont="1" applyAlignment="1">
      <alignment horizontal="right"/>
    </xf>
    <xf numFmtId="4" fontId="21" fillId="0" borderId="0" xfId="286" applyNumberFormat="1" applyFont="1" applyBorder="1"/>
    <xf numFmtId="0" fontId="19" fillId="0" borderId="0" xfId="286" applyFont="1" applyBorder="1"/>
    <xf numFmtId="0" fontId="14" fillId="0" borderId="0" xfId="286" applyFont="1" applyFill="1" applyBorder="1"/>
    <xf numFmtId="4" fontId="9" fillId="0" borderId="0" xfId="286" applyNumberFormat="1" applyFont="1" applyFill="1"/>
    <xf numFmtId="3" fontId="14" fillId="0" borderId="0" xfId="286" applyNumberFormat="1" applyFont="1"/>
    <xf numFmtId="3" fontId="13" fillId="24" borderId="0" xfId="286" applyNumberFormat="1" applyFont="1" applyFill="1" applyBorder="1" applyAlignment="1">
      <alignment horizontal="right"/>
    </xf>
    <xf numFmtId="3" fontId="15" fillId="24" borderId="0" xfId="286" applyNumberFormat="1" applyFont="1" applyFill="1" applyBorder="1" applyAlignment="1">
      <alignment horizontal="right"/>
    </xf>
    <xf numFmtId="0" fontId="9" fillId="0" borderId="0" xfId="286" applyFont="1" applyFill="1" applyBorder="1"/>
    <xf numFmtId="3" fontId="9" fillId="0" borderId="0" xfId="286" applyNumberFormat="1" applyFont="1" applyFill="1" applyBorder="1"/>
    <xf numFmtId="170" fontId="9" fillId="0" borderId="0" xfId="286" applyNumberFormat="1" applyFont="1" applyFill="1" applyBorder="1"/>
    <xf numFmtId="4" fontId="9" fillId="0" borderId="0" xfId="286" applyNumberFormat="1" applyFont="1" applyFill="1" applyBorder="1"/>
    <xf numFmtId="43" fontId="9" fillId="0" borderId="0" xfId="286" applyNumberFormat="1" applyFont="1" applyBorder="1"/>
    <xf numFmtId="0" fontId="9" fillId="0" borderId="0" xfId="286" applyNumberFormat="1" applyFont="1" applyBorder="1" applyAlignment="1">
      <alignment horizontal="center"/>
    </xf>
    <xf numFmtId="0" fontId="9" fillId="0" borderId="0" xfId="286" applyFont="1" applyFill="1" applyBorder="1" applyAlignment="1">
      <alignment horizontal="center"/>
    </xf>
    <xf numFmtId="0" fontId="19" fillId="0" borderId="0" xfId="286" applyFont="1" applyFill="1" applyBorder="1"/>
    <xf numFmtId="43" fontId="19" fillId="0" borderId="0" xfId="286" applyNumberFormat="1" applyFont="1" applyBorder="1"/>
    <xf numFmtId="0" fontId="19" fillId="0" borderId="0" xfId="286" applyNumberFormat="1" applyFont="1" applyBorder="1" applyAlignment="1">
      <alignment horizontal="center"/>
    </xf>
    <xf numFmtId="10" fontId="19" fillId="0" borderId="0" xfId="286" applyNumberFormat="1" applyFont="1" applyFill="1" applyBorder="1"/>
    <xf numFmtId="3" fontId="19" fillId="0" borderId="0" xfId="286" applyNumberFormat="1" applyFont="1" applyFill="1" applyBorder="1"/>
    <xf numFmtId="167" fontId="19" fillId="0" borderId="0" xfId="286" applyNumberFormat="1" applyFont="1" applyBorder="1"/>
    <xf numFmtId="10" fontId="9" fillId="0" borderId="0" xfId="286" applyNumberFormat="1" applyFont="1" applyFill="1" applyBorder="1"/>
    <xf numFmtId="0" fontId="9" fillId="0" borderId="0" xfId="286" applyNumberFormat="1" applyFont="1" applyBorder="1"/>
    <xf numFmtId="0" fontId="85" fillId="0" borderId="0" xfId="286" applyFont="1"/>
    <xf numFmtId="0" fontId="85" fillId="0" borderId="0" xfId="286" applyFont="1" applyAlignment="1">
      <alignment horizontal="center"/>
    </xf>
    <xf numFmtId="4" fontId="19" fillId="0" borderId="0" xfId="286" applyNumberFormat="1" applyFont="1" applyFill="1" applyBorder="1"/>
    <xf numFmtId="170" fontId="19" fillId="0" borderId="0" xfId="286" applyNumberFormat="1" applyFont="1" applyFill="1" applyBorder="1"/>
    <xf numFmtId="0" fontId="19" fillId="0" borderId="0" xfId="286" applyNumberFormat="1" applyFont="1" applyBorder="1" applyAlignment="1">
      <alignment horizontal="right"/>
    </xf>
    <xf numFmtId="0" fontId="19" fillId="0" borderId="0" xfId="286" applyNumberFormat="1" applyFont="1" applyBorder="1"/>
    <xf numFmtId="0" fontId="19" fillId="0" borderId="0" xfId="286" applyFont="1" applyFill="1" applyBorder="1" applyAlignment="1">
      <alignment horizontal="center"/>
    </xf>
    <xf numFmtId="0" fontId="19" fillId="0" borderId="0" xfId="286" applyFont="1" applyFill="1" applyBorder="1" applyAlignment="1">
      <alignment horizontal="left"/>
    </xf>
    <xf numFmtId="170" fontId="9" fillId="0" borderId="0" xfId="286" applyNumberFormat="1" applyFont="1" applyFill="1"/>
    <xf numFmtId="0" fontId="9" fillId="0" borderId="0" xfId="286" applyFont="1" applyFill="1" applyAlignment="1">
      <alignment horizontal="center"/>
    </xf>
    <xf numFmtId="170" fontId="14" fillId="0" borderId="0" xfId="286" applyNumberFormat="1" applyFont="1" applyAlignment="1"/>
    <xf numFmtId="0" fontId="42" fillId="0" borderId="0" xfId="286" applyFont="1" applyFill="1" applyBorder="1" applyAlignment="1">
      <alignment horizontal="center" vertical="justify" wrapText="1"/>
    </xf>
    <xf numFmtId="0" fontId="13" fillId="0" borderId="0" xfId="286" applyFont="1" applyFill="1" applyBorder="1" applyAlignment="1">
      <alignment horizontal="centerContinuous"/>
    </xf>
    <xf numFmtId="4" fontId="87" fillId="28" borderId="0" xfId="286" applyNumberFormat="1" applyFont="1" applyFill="1" applyBorder="1" applyAlignment="1">
      <alignment horizontal="center" vertical="justify" wrapText="1"/>
    </xf>
    <xf numFmtId="0" fontId="87" fillId="26" borderId="0" xfId="286" applyFont="1" applyFill="1" applyBorder="1" applyAlignment="1">
      <alignment horizontal="center" vertical="justify" wrapText="1"/>
    </xf>
    <xf numFmtId="170" fontId="20" fillId="0" borderId="0" xfId="286" applyNumberFormat="1" applyFont="1"/>
    <xf numFmtId="0" fontId="42" fillId="29" borderId="0" xfId="286" applyFont="1" applyFill="1" applyBorder="1" applyAlignment="1">
      <alignment horizontal="center" vertical="center"/>
    </xf>
    <xf numFmtId="0" fontId="42" fillId="0" borderId="0" xfId="286" applyFont="1" applyFill="1" applyBorder="1" applyAlignment="1">
      <alignment horizontal="center"/>
    </xf>
    <xf numFmtId="0" fontId="22" fillId="0" borderId="0" xfId="286" applyFont="1" applyFill="1" applyBorder="1" applyAlignment="1">
      <alignment horizontal="centerContinuous"/>
    </xf>
    <xf numFmtId="0" fontId="42" fillId="0" borderId="0" xfId="286" applyFont="1" applyFill="1" applyBorder="1" applyAlignment="1">
      <alignment vertical="center" wrapText="1"/>
    </xf>
    <xf numFmtId="49" fontId="42" fillId="0" borderId="0" xfId="286" applyNumberFormat="1" applyFont="1" applyFill="1" applyBorder="1" applyAlignment="1"/>
    <xf numFmtId="0" fontId="22" fillId="0" borderId="0" xfId="286" applyFont="1" applyFill="1" applyBorder="1" applyAlignment="1">
      <alignment horizontal="left"/>
    </xf>
    <xf numFmtId="170" fontId="14" fillId="0" borderId="0" xfId="286" applyNumberFormat="1" applyFont="1" applyFill="1"/>
    <xf numFmtId="4" fontId="13" fillId="0" borderId="0" xfId="286" applyNumberFormat="1" applyFont="1" applyFill="1" applyBorder="1" applyAlignment="1">
      <alignment horizontal="centerContinuous"/>
    </xf>
    <xf numFmtId="164" fontId="14" fillId="0" borderId="0" xfId="286" applyNumberFormat="1" applyFont="1" applyFill="1" applyBorder="1" applyAlignment="1">
      <alignment horizontal="centerContinuous"/>
    </xf>
    <xf numFmtId="0" fontId="14" fillId="0" borderId="0" xfId="286" applyFont="1" applyFill="1" applyAlignment="1">
      <alignment horizontal="center"/>
    </xf>
    <xf numFmtId="43" fontId="19" fillId="0" borderId="0" xfId="33" applyFont="1" applyBorder="1"/>
    <xf numFmtId="43" fontId="14" fillId="0" borderId="0" xfId="33" applyFont="1" applyFill="1"/>
    <xf numFmtId="43" fontId="0" fillId="0" borderId="0" xfId="33" applyFont="1" applyFill="1"/>
    <xf numFmtId="43" fontId="18" fillId="0" borderId="0" xfId="33" applyFont="1" applyFill="1"/>
    <xf numFmtId="3" fontId="9" fillId="61" borderId="0" xfId="0" applyNumberFormat="1" applyFont="1" applyFill="1" applyAlignment="1">
      <alignment horizontal="right" vertical="center"/>
    </xf>
    <xf numFmtId="3" fontId="19" fillId="0" borderId="0" xfId="33" applyNumberFormat="1" applyFont="1" applyFill="1" applyBorder="1"/>
    <xf numFmtId="3" fontId="85" fillId="0" borderId="0" xfId="286" applyNumberFormat="1" applyFont="1" applyFill="1"/>
    <xf numFmtId="41" fontId="0" fillId="0" borderId="0" xfId="0" applyNumberFormat="1"/>
    <xf numFmtId="3" fontId="65" fillId="61" borderId="0" xfId="0" applyNumberFormat="1" applyFont="1" applyFill="1" applyAlignment="1">
      <alignment vertical="center"/>
    </xf>
    <xf numFmtId="0" fontId="14" fillId="0" borderId="0" xfId="286" applyFont="1" applyFill="1" applyBorder="1" applyAlignment="1">
      <alignment horizontal="center"/>
    </xf>
    <xf numFmtId="43" fontId="28" fillId="0" borderId="0" xfId="33" applyFont="1" applyBorder="1"/>
    <xf numFmtId="43" fontId="14" fillId="0" borderId="0" xfId="0" applyNumberFormat="1" applyFont="1" applyFill="1"/>
    <xf numFmtId="10" fontId="14" fillId="0" borderId="0" xfId="286" applyNumberFormat="1" applyFont="1" applyFill="1"/>
    <xf numFmtId="171" fontId="9" fillId="0" borderId="0" xfId="286" applyNumberFormat="1" applyFont="1" applyFill="1"/>
    <xf numFmtId="171" fontId="19" fillId="0" borderId="0" xfId="286" applyNumberFormat="1" applyFont="1" applyFill="1"/>
    <xf numFmtId="10" fontId="20" fillId="0" borderId="0" xfId="286" applyNumberFormat="1" applyFont="1"/>
    <xf numFmtId="171" fontId="9" fillId="0" borderId="0" xfId="286" applyNumberFormat="1" applyFont="1"/>
    <xf numFmtId="10" fontId="14" fillId="0" borderId="0" xfId="286" applyNumberFormat="1" applyFont="1" applyAlignment="1"/>
    <xf numFmtId="171" fontId="9" fillId="0" borderId="0" xfId="286" applyNumberFormat="1" applyFont="1" applyAlignment="1"/>
    <xf numFmtId="10" fontId="9" fillId="0" borderId="0" xfId="286" applyNumberFormat="1" applyFont="1" applyFill="1"/>
    <xf numFmtId="171" fontId="19" fillId="0" borderId="0" xfId="286" applyNumberFormat="1" applyFont="1" applyFill="1" applyBorder="1"/>
    <xf numFmtId="171" fontId="9" fillId="0" borderId="0" xfId="286" applyNumberFormat="1" applyFont="1" applyFill="1" applyBorder="1"/>
    <xf numFmtId="10" fontId="19" fillId="0" borderId="0" xfId="33" applyNumberFormat="1" applyFont="1" applyFill="1" applyBorder="1"/>
    <xf numFmtId="10" fontId="14" fillId="0" borderId="0" xfId="286" applyNumberFormat="1" applyFont="1"/>
    <xf numFmtId="43" fontId="28" fillId="0" borderId="0" xfId="33" applyFont="1" applyBorder="1" applyAlignment="1">
      <alignment vertical="center"/>
    </xf>
    <xf numFmtId="43" fontId="14" fillId="0" borderId="0" xfId="33" applyFont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34" fillId="0" borderId="0" xfId="0" applyFont="1" applyFill="1"/>
    <xf numFmtId="165" fontId="18" fillId="0" borderId="0" xfId="33" applyNumberFormat="1" applyFont="1" applyFill="1" applyBorder="1"/>
    <xf numFmtId="3" fontId="18" fillId="0" borderId="0" xfId="33" applyNumberFormat="1" applyFont="1" applyFill="1" applyBorder="1"/>
    <xf numFmtId="0" fontId="9" fillId="0" borderId="0" xfId="0" applyFont="1" applyFill="1" applyBorder="1" applyAlignment="1"/>
    <xf numFmtId="0" fontId="32" fillId="0" borderId="0" xfId="0" applyFont="1" applyBorder="1" applyAlignment="1"/>
    <xf numFmtId="0" fontId="34" fillId="0" borderId="0" xfId="0" applyFont="1" applyBorder="1" applyAlignment="1"/>
    <xf numFmtId="43" fontId="14" fillId="0" borderId="0" xfId="33" applyFont="1" applyBorder="1"/>
    <xf numFmtId="4" fontId="9" fillId="0" borderId="0" xfId="122" applyNumberFormat="1"/>
    <xf numFmtId="4" fontId="0" fillId="0" borderId="0" xfId="0" applyNumberFormat="1" applyFill="1"/>
    <xf numFmtId="43" fontId="10" fillId="0" borderId="0" xfId="33" applyFont="1"/>
    <xf numFmtId="43" fontId="10" fillId="0" borderId="0" xfId="0" applyNumberFormat="1" applyFont="1"/>
    <xf numFmtId="43" fontId="28" fillId="0" borderId="0" xfId="33" applyFont="1"/>
    <xf numFmtId="43" fontId="18" fillId="0" borderId="0" xfId="33" applyFont="1" applyAlignment="1">
      <alignment vertical="center"/>
    </xf>
    <xf numFmtId="43" fontId="14" fillId="0" borderId="0" xfId="0" applyNumberFormat="1" applyFont="1" applyBorder="1"/>
    <xf numFmtId="43" fontId="14" fillId="0" borderId="0" xfId="0" applyNumberFormat="1" applyFont="1"/>
    <xf numFmtId="43" fontId="18" fillId="0" borderId="0" xfId="33" applyFont="1"/>
    <xf numFmtId="43" fontId="19" fillId="0" borderId="0" xfId="33" applyFont="1"/>
    <xf numFmtId="43" fontId="14" fillId="0" borderId="0" xfId="33" applyFont="1" applyAlignment="1"/>
    <xf numFmtId="0" fontId="10" fillId="0" borderId="0" xfId="122" applyFont="1" applyFill="1"/>
    <xf numFmtId="0" fontId="90" fillId="0" borderId="0" xfId="122" applyFont="1" applyFill="1" applyBorder="1" applyAlignment="1">
      <alignment vertical="center" wrapText="1"/>
    </xf>
    <xf numFmtId="0" fontId="90" fillId="0" borderId="0" xfId="122" applyFont="1" applyFill="1" applyAlignment="1">
      <alignment vertical="center" wrapText="1"/>
    </xf>
    <xf numFmtId="0" fontId="10" fillId="0" borderId="0" xfId="122" applyFont="1" applyFill="1" applyBorder="1" applyAlignment="1">
      <alignment horizontal="centerContinuous"/>
    </xf>
    <xf numFmtId="0" fontId="10" fillId="0" borderId="0" xfId="122" applyFont="1"/>
    <xf numFmtId="10" fontId="10" fillId="0" borderId="0" xfId="945" applyNumberFormat="1" applyFont="1"/>
    <xf numFmtId="9" fontId="10" fillId="0" borderId="0" xfId="945" applyFont="1"/>
    <xf numFmtId="4" fontId="10" fillId="0" borderId="0" xfId="122" applyNumberFormat="1" applyFont="1"/>
    <xf numFmtId="172" fontId="10" fillId="0" borderId="0" xfId="122" applyNumberFormat="1" applyFont="1"/>
    <xf numFmtId="172" fontId="10" fillId="0" borderId="0" xfId="945" applyNumberFormat="1" applyFont="1"/>
    <xf numFmtId="10" fontId="0" fillId="0" borderId="0" xfId="0" applyNumberFormat="1" applyFill="1"/>
    <xf numFmtId="0" fontId="14" fillId="27" borderId="0" xfId="0" applyFont="1" applyFill="1" applyBorder="1"/>
    <xf numFmtId="41" fontId="14" fillId="27" borderId="0" xfId="33" applyNumberFormat="1" applyFont="1" applyFill="1" applyBorder="1"/>
    <xf numFmtId="3" fontId="14" fillId="27" borderId="0" xfId="0" applyNumberFormat="1" applyFont="1" applyFill="1" applyBorder="1"/>
    <xf numFmtId="0" fontId="13" fillId="27" borderId="0" xfId="0" applyFont="1" applyFill="1" applyBorder="1"/>
    <xf numFmtId="0" fontId="14" fillId="27" borderId="0" xfId="0" applyFont="1" applyFill="1"/>
    <xf numFmtId="167" fontId="14" fillId="27" borderId="0" xfId="33" applyNumberFormat="1" applyFont="1" applyFill="1"/>
    <xf numFmtId="167" fontId="14" fillId="27" borderId="0" xfId="33" applyNumberFormat="1" applyFont="1" applyFill="1" applyBorder="1"/>
    <xf numFmtId="4" fontId="14" fillId="27" borderId="0" xfId="0" applyNumberFormat="1" applyFont="1" applyFill="1"/>
    <xf numFmtId="0" fontId="0" fillId="27" borderId="0" xfId="0" applyFill="1"/>
    <xf numFmtId="0" fontId="14" fillId="27" borderId="0" xfId="0" applyFont="1" applyFill="1" applyBorder="1" applyAlignment="1">
      <alignment horizontal="left"/>
    </xf>
    <xf numFmtId="0" fontId="16" fillId="27" borderId="0" xfId="0" applyFont="1" applyFill="1" applyBorder="1"/>
    <xf numFmtId="0" fontId="15" fillId="27" borderId="0" xfId="0" applyFont="1" applyFill="1" applyBorder="1" applyAlignment="1">
      <alignment vertical="center"/>
    </xf>
    <xf numFmtId="3" fontId="16" fillId="27" borderId="0" xfId="0" applyNumberFormat="1" applyFont="1" applyFill="1" applyBorder="1"/>
    <xf numFmtId="4" fontId="110" fillId="0" borderId="0" xfId="0" applyNumberFormat="1" applyFont="1"/>
    <xf numFmtId="3" fontId="40" fillId="0" borderId="0" xfId="33" applyNumberFormat="1" applyFont="1" applyFill="1" applyBorder="1"/>
    <xf numFmtId="41" fontId="40" fillId="0" borderId="0" xfId="0" applyNumberFormat="1" applyFont="1" applyFill="1" applyBorder="1"/>
    <xf numFmtId="167" fontId="24" fillId="0" borderId="0" xfId="33" applyNumberFormat="1" applyFont="1"/>
    <xf numFmtId="3" fontId="9" fillId="0" borderId="0" xfId="33" applyNumberFormat="1" applyFont="1" applyFill="1" applyBorder="1"/>
    <xf numFmtId="10" fontId="0" fillId="0" borderId="0" xfId="0" applyNumberFormat="1"/>
    <xf numFmtId="0" fontId="111" fillId="0" borderId="0" xfId="0" applyFont="1" applyAlignment="1">
      <alignment vertical="center"/>
    </xf>
    <xf numFmtId="0" fontId="111" fillId="0" borderId="0" xfId="0" applyFont="1" applyAlignment="1">
      <alignment horizontal="left" vertical="center" indent="2"/>
    </xf>
    <xf numFmtId="0" fontId="14" fillId="0" borderId="0" xfId="0" applyFont="1" applyBorder="1" applyAlignment="1">
      <alignment horizontal="left" indent="2"/>
    </xf>
    <xf numFmtId="167" fontId="14" fillId="0" borderId="0" xfId="0" applyNumberFormat="1" applyFont="1"/>
    <xf numFmtId="43" fontId="14" fillId="0" borderId="19" xfId="33" applyFont="1" applyBorder="1"/>
    <xf numFmtId="3" fontId="14" fillId="61" borderId="0" xfId="0" applyNumberFormat="1" applyFont="1" applyFill="1" applyAlignment="1">
      <alignment vertical="center"/>
    </xf>
    <xf numFmtId="43" fontId="14" fillId="0" borderId="29" xfId="33" applyFont="1" applyBorder="1"/>
    <xf numFmtId="3" fontId="112" fillId="0" borderId="0" xfId="946" applyNumberFormat="1" applyFont="1"/>
    <xf numFmtId="3" fontId="15" fillId="29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42" fillId="29" borderId="0" xfId="0" applyFont="1" applyFill="1" applyBorder="1" applyAlignment="1">
      <alignment horizontal="center" vertical="center" wrapText="1"/>
    </xf>
    <xf numFmtId="0" fontId="42" fillId="29" borderId="0" xfId="0" applyFont="1" applyFill="1" applyBorder="1" applyAlignment="1">
      <alignment horizontal="center" vertical="justify" wrapText="1"/>
    </xf>
    <xf numFmtId="0" fontId="14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Continuous"/>
    </xf>
    <xf numFmtId="0" fontId="22" fillId="0" borderId="0" xfId="0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167" fontId="14" fillId="0" borderId="0" xfId="33" applyNumberFormat="1" applyFont="1" applyFill="1" applyBorder="1"/>
    <xf numFmtId="173" fontId="14" fillId="0" borderId="0" xfId="286" applyNumberFormat="1" applyFont="1" applyFill="1"/>
    <xf numFmtId="173" fontId="14" fillId="0" borderId="0" xfId="286" applyNumberFormat="1" applyFont="1" applyFill="1" applyAlignment="1"/>
    <xf numFmtId="173" fontId="13" fillId="0" borderId="0" xfId="286" applyNumberFormat="1" applyFont="1" applyFill="1" applyBorder="1" applyAlignment="1">
      <alignment horizontal="centerContinuous"/>
    </xf>
    <xf numFmtId="173" fontId="9" fillId="0" borderId="0" xfId="286" applyNumberFormat="1" applyFont="1" applyFill="1"/>
    <xf numFmtId="173" fontId="19" fillId="0" borderId="0" xfId="286" applyNumberFormat="1" applyFont="1" applyFill="1" applyBorder="1"/>
    <xf numFmtId="173" fontId="9" fillId="0" borderId="0" xfId="286" applyNumberFormat="1" applyFont="1" applyFill="1" applyBorder="1"/>
    <xf numFmtId="7" fontId="9" fillId="0" borderId="0" xfId="286" applyNumberFormat="1" applyFont="1" applyFill="1" applyBorder="1"/>
    <xf numFmtId="173" fontId="19" fillId="0" borderId="0" xfId="33" applyNumberFormat="1" applyFont="1" applyBorder="1"/>
    <xf numFmtId="173" fontId="14" fillId="0" borderId="0" xfId="33" applyNumberFormat="1" applyFont="1"/>
    <xf numFmtId="173" fontId="14" fillId="0" borderId="0" xfId="286" applyNumberFormat="1" applyFont="1"/>
    <xf numFmtId="43" fontId="14" fillId="0" borderId="0" xfId="286" applyNumberFormat="1" applyFont="1"/>
    <xf numFmtId="3" fontId="15" fillId="29" borderId="0" xfId="0" applyNumberFormat="1" applyFont="1" applyFill="1" applyBorder="1" applyAlignment="1">
      <alignment horizontal="right"/>
    </xf>
    <xf numFmtId="4" fontId="18" fillId="0" borderId="0" xfId="0" applyNumberFormat="1" applyFont="1" applyBorder="1"/>
    <xf numFmtId="4" fontId="24" fillId="0" borderId="0" xfId="0" applyNumberFormat="1" applyFont="1" applyBorder="1"/>
    <xf numFmtId="3" fontId="20" fillId="62" borderId="30" xfId="950" applyNumberFormat="1" applyFont="1" applyFill="1" applyBorder="1" applyAlignment="1" applyProtection="1">
      <alignment vertical="top"/>
      <protection locked="0"/>
    </xf>
    <xf numFmtId="0" fontId="114" fillId="0" borderId="0" xfId="0" applyFont="1" applyAlignment="1">
      <alignment vertical="center"/>
    </xf>
    <xf numFmtId="10" fontId="10" fillId="0" borderId="0" xfId="122" applyNumberFormat="1" applyFont="1"/>
    <xf numFmtId="43" fontId="17" fillId="0" borderId="0" xfId="0" applyNumberFormat="1" applyFont="1" applyBorder="1" applyAlignment="1">
      <alignment horizontal="center"/>
    </xf>
    <xf numFmtId="0" fontId="14" fillId="0" borderId="0" xfId="0" applyFont="1" applyAlignment="1">
      <alignment horizontal="left" indent="2"/>
    </xf>
    <xf numFmtId="167" fontId="9" fillId="0" borderId="0" xfId="33" applyNumberFormat="1" applyFont="1"/>
    <xf numFmtId="167" fontId="9" fillId="0" borderId="0" xfId="33" applyNumberFormat="1" applyFont="1" applyFill="1"/>
    <xf numFmtId="167" fontId="9" fillId="0" borderId="0" xfId="33" applyNumberFormat="1" applyFont="1" applyBorder="1" applyAlignment="1"/>
    <xf numFmtId="3" fontId="15" fillId="29" borderId="0" xfId="0" applyNumberFormat="1" applyFont="1" applyFill="1" applyBorder="1" applyAlignment="1">
      <alignment horizontal="right"/>
    </xf>
    <xf numFmtId="43" fontId="28" fillId="63" borderId="0" xfId="33" applyFont="1" applyFill="1" applyAlignment="1">
      <alignment vertical="center"/>
    </xf>
    <xf numFmtId="3" fontId="9" fillId="0" borderId="0" xfId="0" applyNumberFormat="1" applyFont="1" applyBorder="1"/>
    <xf numFmtId="3" fontId="34" fillId="0" borderId="0" xfId="0" applyNumberFormat="1" applyFont="1" applyBorder="1"/>
    <xf numFmtId="0" fontId="14" fillId="0" borderId="0" xfId="286" applyFont="1" applyFill="1" applyBorder="1" applyAlignment="1">
      <alignment horizontal="center"/>
    </xf>
    <xf numFmtId="0" fontId="42" fillId="29" borderId="0" xfId="286" applyFont="1" applyFill="1" applyBorder="1" applyAlignment="1">
      <alignment horizontal="center" vertical="center" wrapText="1"/>
    </xf>
    <xf numFmtId="0" fontId="42" fillId="29" borderId="0" xfId="286" applyFont="1" applyFill="1" applyBorder="1" applyAlignment="1">
      <alignment horizontal="center" vertical="justify" wrapText="1"/>
    </xf>
    <xf numFmtId="0" fontId="14" fillId="0" borderId="0" xfId="286" applyFont="1" applyFill="1" applyAlignment="1"/>
    <xf numFmtId="3" fontId="15" fillId="29" borderId="0" xfId="286" applyNumberFormat="1" applyFont="1" applyFill="1" applyBorder="1" applyAlignment="1">
      <alignment horizontal="right"/>
    </xf>
    <xf numFmtId="173" fontId="42" fillId="29" borderId="0" xfId="286" applyNumberFormat="1" applyFont="1" applyFill="1" applyBorder="1" applyAlignment="1">
      <alignment horizontal="center" vertical="justify" wrapText="1"/>
    </xf>
    <xf numFmtId="3" fontId="20" fillId="0" borderId="0" xfId="0" applyNumberFormat="1" applyFont="1" applyBorder="1" applyAlignment="1">
      <alignment vertical="center"/>
    </xf>
    <xf numFmtId="43" fontId="13" fillId="0" borderId="0" xfId="286" applyNumberFormat="1" applyFont="1" applyFill="1"/>
    <xf numFmtId="43" fontId="13" fillId="0" borderId="0" xfId="33" applyFont="1" applyFill="1"/>
    <xf numFmtId="4" fontId="1" fillId="0" borderId="0" xfId="958" applyNumberFormat="1" applyAlignment="1">
      <alignment vertical="center" wrapText="1"/>
    </xf>
    <xf numFmtId="4" fontId="14" fillId="0" borderId="0" xfId="286" applyNumberFormat="1" applyFont="1"/>
    <xf numFmtId="4" fontId="90" fillId="0" borderId="0" xfId="286" applyNumberFormat="1" applyFont="1" applyBorder="1"/>
    <xf numFmtId="173" fontId="15" fillId="29" borderId="0" xfId="286" applyNumberFormat="1" applyFont="1" applyFill="1" applyBorder="1" applyAlignment="1">
      <alignment horizontal="right"/>
    </xf>
    <xf numFmtId="7" fontId="113" fillId="26" borderId="0" xfId="958" applyNumberFormat="1" applyFont="1" applyFill="1" applyBorder="1" applyAlignment="1" applyProtection="1">
      <alignment horizontal="right" vertical="top" wrapText="1"/>
    </xf>
    <xf numFmtId="43" fontId="9" fillId="0" borderId="0" xfId="286" applyNumberFormat="1" applyFont="1" applyFill="1" applyBorder="1"/>
    <xf numFmtId="0" fontId="85" fillId="0" borderId="0" xfId="286" applyFont="1" applyFill="1"/>
    <xf numFmtId="0" fontId="85" fillId="0" borderId="0" xfId="286" applyFont="1" applyFill="1" applyAlignment="1">
      <alignment horizontal="center"/>
    </xf>
    <xf numFmtId="3" fontId="9" fillId="0" borderId="0" xfId="286" applyNumberFormat="1" applyFont="1" applyFill="1" applyBorder="1" applyAlignment="1">
      <alignment horizontal="center"/>
    </xf>
    <xf numFmtId="3" fontId="9" fillId="0" borderId="0" xfId="286" applyNumberFormat="1" applyFont="1" applyFill="1"/>
    <xf numFmtId="7" fontId="113" fillId="0" borderId="0" xfId="958" applyNumberFormat="1" applyFont="1" applyFill="1" applyBorder="1" applyAlignment="1" applyProtection="1">
      <alignment horizontal="right" vertical="top" wrapText="1"/>
    </xf>
    <xf numFmtId="166" fontId="9" fillId="0" borderId="0" xfId="33" applyNumberFormat="1" applyFont="1" applyBorder="1"/>
    <xf numFmtId="0" fontId="14" fillId="0" borderId="0" xfId="286" applyFont="1" applyFill="1" applyBorder="1" applyAlignment="1">
      <alignment horizontal="center"/>
    </xf>
    <xf numFmtId="165" fontId="19" fillId="0" borderId="0" xfId="33" applyNumberFormat="1" applyFont="1" applyFill="1" applyBorder="1" applyAlignment="1">
      <alignment vertical="center"/>
    </xf>
    <xf numFmtId="3" fontId="19" fillId="0" borderId="0" xfId="3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165" fontId="19" fillId="0" borderId="0" xfId="33" applyNumberFormat="1" applyFont="1" applyFill="1" applyBorder="1" applyAlignment="1">
      <alignment horizontal="center" vertical="center"/>
    </xf>
    <xf numFmtId="3" fontId="18" fillId="0" borderId="0" xfId="33" applyNumberFormat="1" applyFont="1" applyFill="1" applyBorder="1" applyAlignment="1">
      <alignment vertical="center"/>
    </xf>
    <xf numFmtId="165" fontId="18" fillId="0" borderId="0" xfId="33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3" fontId="18" fillId="0" borderId="0" xfId="33" applyFont="1" applyFill="1" applyBorder="1" applyAlignment="1">
      <alignment horizontal="right" wrapText="1"/>
    </xf>
    <xf numFmtId="3" fontId="19" fillId="0" borderId="0" xfId="0" applyNumberFormat="1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vertical="center"/>
    </xf>
    <xf numFmtId="0" fontId="9" fillId="0" borderId="0" xfId="0" applyFont="1" applyFill="1" applyBorder="1"/>
    <xf numFmtId="0" fontId="18" fillId="0" borderId="0" xfId="0" applyFont="1" applyFill="1" applyBorder="1" applyAlignment="1"/>
    <xf numFmtId="167" fontId="18" fillId="0" borderId="0" xfId="33" applyNumberFormat="1" applyFont="1" applyFill="1" applyBorder="1" applyAlignment="1">
      <alignment horizontal="right" vertical="center" wrapText="1"/>
    </xf>
    <xf numFmtId="4" fontId="18" fillId="0" borderId="0" xfId="0" applyNumberFormat="1" applyFont="1" applyFill="1" applyBorder="1" applyAlignment="1">
      <alignment vertical="center"/>
    </xf>
    <xf numFmtId="165" fontId="31" fillId="0" borderId="0" xfId="33" applyNumberFormat="1" applyFont="1" applyFill="1" applyBorder="1" applyAlignment="1">
      <alignment horizontal="center"/>
    </xf>
    <xf numFmtId="43" fontId="18" fillId="0" borderId="0" xfId="33" applyFont="1" applyFill="1" applyBorder="1" applyAlignment="1">
      <alignment horizontal="right" vertical="center" wrapText="1"/>
    </xf>
    <xf numFmtId="3" fontId="14" fillId="0" borderId="0" xfId="33" applyNumberFormat="1" applyFont="1" applyFill="1" applyBorder="1"/>
    <xf numFmtId="3" fontId="15" fillId="0" borderId="0" xfId="33" applyNumberFormat="1" applyFont="1" applyFill="1" applyBorder="1"/>
    <xf numFmtId="165" fontId="18" fillId="0" borderId="0" xfId="33" applyNumberFormat="1" applyFont="1" applyFill="1" applyBorder="1" applyAlignment="1">
      <alignment horizontal="center"/>
    </xf>
    <xf numFmtId="165" fontId="34" fillId="0" borderId="0" xfId="33" applyNumberFormat="1" applyFont="1" applyFill="1" applyBorder="1"/>
    <xf numFmtId="0" fontId="32" fillId="0" borderId="0" xfId="0" applyFont="1" applyFill="1" applyBorder="1" applyAlignment="1"/>
    <xf numFmtId="3" fontId="34" fillId="0" borderId="0" xfId="0" applyNumberFormat="1" applyFont="1" applyFill="1" applyBorder="1"/>
    <xf numFmtId="0" fontId="34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4" fontId="18" fillId="0" borderId="0" xfId="0" applyNumberFormat="1" applyFont="1" applyFill="1" applyBorder="1"/>
    <xf numFmtId="0" fontId="19" fillId="0" borderId="0" xfId="0" applyFont="1" applyFill="1" applyBorder="1" applyAlignment="1"/>
    <xf numFmtId="165" fontId="19" fillId="0" borderId="0" xfId="33" applyNumberFormat="1" applyFont="1" applyFill="1" applyBorder="1"/>
    <xf numFmtId="0" fontId="14" fillId="0" borderId="0" xfId="286" applyFont="1" applyFill="1" applyBorder="1" applyAlignment="1">
      <alignment horizontal="center"/>
    </xf>
    <xf numFmtId="0" fontId="62" fillId="0" borderId="0" xfId="286" applyFont="1" applyFill="1" applyBorder="1" applyAlignment="1">
      <alignment horizontal="center" vertical="center" wrapText="1"/>
    </xf>
    <xf numFmtId="0" fontId="12" fillId="0" borderId="0" xfId="286" applyFont="1" applyAlignment="1">
      <alignment horizontal="center" vertical="center" wrapText="1"/>
    </xf>
    <xf numFmtId="0" fontId="44" fillId="0" borderId="0" xfId="286" applyFont="1" applyFill="1" applyBorder="1" applyAlignment="1">
      <alignment horizontal="center"/>
    </xf>
    <xf numFmtId="49" fontId="13" fillId="0" borderId="0" xfId="286" applyNumberFormat="1" applyFont="1" applyFill="1" applyBorder="1" applyAlignment="1">
      <alignment horizontal="center"/>
    </xf>
    <xf numFmtId="0" fontId="13" fillId="0" borderId="0" xfId="286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24" fillId="0" borderId="0" xfId="0" applyFont="1" applyFill="1" applyAlignment="1"/>
    <xf numFmtId="0" fontId="38" fillId="29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15" fillId="29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0" fontId="32" fillId="0" borderId="0" xfId="0" applyFont="1" applyFill="1" applyAlignment="1"/>
    <xf numFmtId="0" fontId="15" fillId="29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justify" wrapText="1"/>
    </xf>
    <xf numFmtId="0" fontId="38" fillId="29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3" fontId="15" fillId="29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122" applyFont="1" applyFill="1" applyBorder="1" applyAlignment="1">
      <alignment horizontal="center"/>
    </xf>
    <xf numFmtId="0" fontId="11" fillId="0" borderId="0" xfId="122" applyFont="1" applyFill="1" applyBorder="1" applyAlignment="1">
      <alignment horizontal="center" vertical="center" wrapText="1"/>
    </xf>
    <xf numFmtId="0" fontId="12" fillId="0" borderId="0" xfId="122" applyFont="1" applyFill="1" applyAlignment="1">
      <alignment horizontal="center" vertical="center" wrapText="1"/>
    </xf>
    <xf numFmtId="0" fontId="14" fillId="0" borderId="0" xfId="122" applyFont="1" applyFill="1" applyAlignment="1"/>
    <xf numFmtId="0" fontId="9" fillId="0" borderId="0" xfId="0" applyFont="1" applyFill="1" applyAlignment="1">
      <alignment horizontal="center" vertical="justify"/>
    </xf>
    <xf numFmtId="0" fontId="62" fillId="0" borderId="0" xfId="0" applyFont="1" applyFill="1" applyAlignment="1">
      <alignment horizontal="center" vertical="center" wrapText="1"/>
    </xf>
    <xf numFmtId="0" fontId="42" fillId="29" borderId="0" xfId="0" applyFont="1" applyFill="1" applyBorder="1" applyAlignment="1">
      <alignment horizontal="center" vertical="center" wrapText="1"/>
    </xf>
    <xf numFmtId="0" fontId="42" fillId="29" borderId="0" xfId="0" applyFont="1" applyFill="1" applyBorder="1" applyAlignment="1">
      <alignment horizontal="center" vertical="justify" wrapText="1"/>
    </xf>
    <xf numFmtId="0" fontId="14" fillId="0" borderId="0" xfId="0" applyFont="1" applyFill="1" applyAlignment="1"/>
    <xf numFmtId="0" fontId="19" fillId="0" borderId="13" xfId="0" applyFont="1" applyBorder="1" applyAlignment="1">
      <alignment horizontal="center" vertical="center"/>
    </xf>
    <xf numFmtId="4" fontId="19" fillId="0" borderId="13" xfId="0" applyNumberFormat="1" applyFont="1" applyBorder="1" applyAlignment="1">
      <alignment horizontal="center" vertical="center"/>
    </xf>
    <xf numFmtId="0" fontId="15" fillId="29" borderId="0" xfId="0" applyFont="1" applyFill="1" applyBorder="1" applyAlignment="1">
      <alignment horizontal="center" vertical="center" wrapText="1"/>
    </xf>
    <xf numFmtId="0" fontId="69" fillId="29" borderId="14" xfId="0" applyFont="1" applyFill="1" applyBorder="1" applyAlignment="1">
      <alignment horizontal="center" vertical="center" wrapText="1"/>
    </xf>
    <xf numFmtId="0" fontId="69" fillId="29" borderId="15" xfId="0" applyFont="1" applyFill="1" applyBorder="1" applyAlignment="1">
      <alignment horizontal="center" vertical="center" wrapText="1"/>
    </xf>
    <xf numFmtId="0" fontId="15" fillId="29" borderId="0" xfId="0" applyFont="1" applyFill="1" applyBorder="1" applyAlignment="1">
      <alignment horizontal="center" vertical="justify"/>
    </xf>
    <xf numFmtId="0" fontId="68" fillId="0" borderId="16" xfId="0" applyFont="1" applyBorder="1" applyAlignment="1">
      <alignment horizontal="center" vertical="center" wrapText="1"/>
    </xf>
    <xf numFmtId="0" fontId="68" fillId="0" borderId="12" xfId="0" applyFont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0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286" applyFont="1" applyFill="1" applyBorder="1" applyAlignment="1">
      <alignment horizontal="center" vertical="center" wrapText="1"/>
    </xf>
    <xf numFmtId="0" fontId="14" fillId="0" borderId="0" xfId="286" applyFont="1" applyFill="1" applyAlignment="1"/>
    <xf numFmtId="0" fontId="42" fillId="29" borderId="0" xfId="286" applyFont="1" applyFill="1" applyBorder="1" applyAlignment="1">
      <alignment horizontal="center" vertical="center" wrapText="1"/>
    </xf>
    <xf numFmtId="0" fontId="42" fillId="29" borderId="0" xfId="286" applyFont="1" applyFill="1" applyBorder="1" applyAlignment="1">
      <alignment horizontal="center" vertical="justify" wrapText="1"/>
    </xf>
    <xf numFmtId="0" fontId="86" fillId="26" borderId="0" xfId="286" applyFont="1" applyFill="1" applyBorder="1" applyAlignment="1">
      <alignment horizontal="center" vertical="justify" wrapText="1"/>
    </xf>
    <xf numFmtId="173" fontId="42" fillId="29" borderId="0" xfId="286" applyNumberFormat="1" applyFont="1" applyFill="1" applyBorder="1" applyAlignment="1">
      <alignment horizontal="center" vertical="justify" wrapText="1"/>
    </xf>
    <xf numFmtId="4" fontId="86" fillId="28" borderId="0" xfId="286" applyNumberFormat="1" applyFont="1" applyFill="1" applyBorder="1" applyAlignment="1">
      <alignment horizontal="center" vertical="justify" wrapText="1"/>
    </xf>
    <xf numFmtId="0" fontId="86" fillId="26" borderId="0" xfId="286" applyFont="1" applyFill="1" applyBorder="1" applyAlignment="1">
      <alignment horizontal="center" vertical="center" wrapText="1"/>
    </xf>
    <xf numFmtId="3" fontId="15" fillId="29" borderId="0" xfId="286" applyNumberFormat="1" applyFont="1" applyFill="1" applyBorder="1" applyAlignment="1">
      <alignment horizontal="right"/>
    </xf>
  </cellXfs>
  <cellStyles count="959">
    <cellStyle name="20% - Énfasis1" xfId="1" builtinId="30" customBuiltin="1"/>
    <cellStyle name="20% - Énfasis1 10" xfId="404"/>
    <cellStyle name="20% - Énfasis1 10 2" xfId="345"/>
    <cellStyle name="20% - Énfasis1 11" xfId="346"/>
    <cellStyle name="20% - Énfasis1 11 2" xfId="347"/>
    <cellStyle name="20% - Énfasis1 12" xfId="348"/>
    <cellStyle name="20% - Énfasis1 12 2" xfId="349"/>
    <cellStyle name="20% - Énfasis1 13" xfId="898"/>
    <cellStyle name="20% - Énfasis1 2" xfId="51"/>
    <cellStyle name="20% - Énfasis1 2 2" xfId="351"/>
    <cellStyle name="20% - Énfasis1 2 3" xfId="352"/>
    <cellStyle name="20% - Énfasis1 2 4" xfId="353"/>
    <cellStyle name="20% - Énfasis1 2 5" xfId="354"/>
    <cellStyle name="20% - Énfasis1 2 6" xfId="355"/>
    <cellStyle name="20% - Énfasis1 2 7" xfId="356"/>
    <cellStyle name="20% - Énfasis1 2 8" xfId="350"/>
    <cellStyle name="20% - Énfasis1 3" xfId="89"/>
    <cellStyle name="20% - Énfasis1 4" xfId="123"/>
    <cellStyle name="20% - Énfasis1 5" xfId="124"/>
    <cellStyle name="20% - Énfasis1 6" xfId="125"/>
    <cellStyle name="20% - Énfasis1 7" xfId="126"/>
    <cellStyle name="20% - Énfasis1 8" xfId="127"/>
    <cellStyle name="20% - Énfasis1 9" xfId="403"/>
    <cellStyle name="20% - Énfasis1 9 2" xfId="357"/>
    <cellStyle name="20% - Énfasis2" xfId="2" builtinId="34" customBuiltin="1"/>
    <cellStyle name="20% - Énfasis2 10" xfId="358"/>
    <cellStyle name="20% - Énfasis2 10 2" xfId="359"/>
    <cellStyle name="20% - Énfasis2 11" xfId="360"/>
    <cellStyle name="20% - Énfasis2 11 2" xfId="361"/>
    <cellStyle name="20% - Énfasis2 12" xfId="362"/>
    <cellStyle name="20% - Énfasis2 12 2" xfId="363"/>
    <cellStyle name="20% - Énfasis2 13" xfId="899"/>
    <cellStyle name="20% - Énfasis2 2" xfId="52"/>
    <cellStyle name="20% - Énfasis2 2 2" xfId="365"/>
    <cellStyle name="20% - Énfasis2 2 3" xfId="366"/>
    <cellStyle name="20% - Énfasis2 2 4" xfId="367"/>
    <cellStyle name="20% - Énfasis2 2 5" xfId="368"/>
    <cellStyle name="20% - Énfasis2 2 6" xfId="369"/>
    <cellStyle name="20% - Énfasis2 2 7" xfId="370"/>
    <cellStyle name="20% - Énfasis2 2 8" xfId="364"/>
    <cellStyle name="20% - Énfasis2 3" xfId="88"/>
    <cellStyle name="20% - Énfasis2 4" xfId="128"/>
    <cellStyle name="20% - Énfasis2 5" xfId="129"/>
    <cellStyle name="20% - Énfasis2 6" xfId="130"/>
    <cellStyle name="20% - Énfasis2 7" xfId="131"/>
    <cellStyle name="20% - Énfasis2 8" xfId="132"/>
    <cellStyle name="20% - Énfasis2 9" xfId="371"/>
    <cellStyle name="20% - Énfasis2 9 2" xfId="372"/>
    <cellStyle name="20% - Énfasis3" xfId="3" builtinId="38" customBuiltin="1"/>
    <cellStyle name="20% - Énfasis3 10" xfId="373"/>
    <cellStyle name="20% - Énfasis3 10 2" xfId="374"/>
    <cellStyle name="20% - Énfasis3 11" xfId="375"/>
    <cellStyle name="20% - Énfasis3 11 2" xfId="376"/>
    <cellStyle name="20% - Énfasis3 12" xfId="377"/>
    <cellStyle name="20% - Énfasis3 12 2" xfId="378"/>
    <cellStyle name="20% - Énfasis3 13" xfId="900"/>
    <cellStyle name="20% - Énfasis3 2" xfId="53"/>
    <cellStyle name="20% - Énfasis3 2 2" xfId="380"/>
    <cellStyle name="20% - Énfasis3 2 3" xfId="381"/>
    <cellStyle name="20% - Énfasis3 2 4" xfId="382"/>
    <cellStyle name="20% - Énfasis3 2 5" xfId="383"/>
    <cellStyle name="20% - Énfasis3 2 6" xfId="384"/>
    <cellStyle name="20% - Énfasis3 2 7" xfId="385"/>
    <cellStyle name="20% - Énfasis3 2 8" xfId="379"/>
    <cellStyle name="20% - Énfasis3 3" xfId="87"/>
    <cellStyle name="20% - Énfasis3 4" xfId="133"/>
    <cellStyle name="20% - Énfasis3 5" xfId="134"/>
    <cellStyle name="20% - Énfasis3 6" xfId="135"/>
    <cellStyle name="20% - Énfasis3 7" xfId="136"/>
    <cellStyle name="20% - Énfasis3 8" xfId="137"/>
    <cellStyle name="20% - Énfasis3 9" xfId="386"/>
    <cellStyle name="20% - Énfasis3 9 2" xfId="387"/>
    <cellStyle name="20% - Énfasis4" xfId="4" builtinId="42" customBuiltin="1"/>
    <cellStyle name="20% - Énfasis4 10" xfId="388"/>
    <cellStyle name="20% - Énfasis4 10 2" xfId="344"/>
    <cellStyle name="20% - Énfasis4 11" xfId="392"/>
    <cellStyle name="20% - Énfasis4 11 2" xfId="393"/>
    <cellStyle name="20% - Énfasis4 12" xfId="394"/>
    <cellStyle name="20% - Énfasis4 12 2" xfId="395"/>
    <cellStyle name="20% - Énfasis4 13" xfId="901"/>
    <cellStyle name="20% - Énfasis4 2" xfId="54"/>
    <cellStyle name="20% - Énfasis4 2 2" xfId="397"/>
    <cellStyle name="20% - Énfasis4 2 3" xfId="398"/>
    <cellStyle name="20% - Énfasis4 2 4" xfId="399"/>
    <cellStyle name="20% - Énfasis4 2 5" xfId="400"/>
    <cellStyle name="20% - Énfasis4 2 6" xfId="401"/>
    <cellStyle name="20% - Énfasis4 2 7" xfId="402"/>
    <cellStyle name="20% - Énfasis4 2 8" xfId="396"/>
    <cellStyle name="20% - Énfasis4 3" xfId="83"/>
    <cellStyle name="20% - Énfasis4 4" xfId="138"/>
    <cellStyle name="20% - Énfasis4 5" xfId="139"/>
    <cellStyle name="20% - Énfasis4 6" xfId="140"/>
    <cellStyle name="20% - Énfasis4 7" xfId="141"/>
    <cellStyle name="20% - Énfasis4 8" xfId="142"/>
    <cellStyle name="20% - Énfasis4 9" xfId="405"/>
    <cellStyle name="20% - Énfasis4 9 2" xfId="406"/>
    <cellStyle name="20% - Énfasis5" xfId="5" builtinId="46" customBuiltin="1"/>
    <cellStyle name="20% - Énfasis5 10" xfId="407"/>
    <cellStyle name="20% - Énfasis5 10 2" xfId="408"/>
    <cellStyle name="20% - Énfasis5 11" xfId="409"/>
    <cellStyle name="20% - Énfasis5 11 2" xfId="410"/>
    <cellStyle name="20% - Énfasis5 12" xfId="411"/>
    <cellStyle name="20% - Énfasis5 12 2" xfId="412"/>
    <cellStyle name="20% - Énfasis5 13" xfId="902"/>
    <cellStyle name="20% - Énfasis5 2" xfId="55"/>
    <cellStyle name="20% - Énfasis5 2 2" xfId="414"/>
    <cellStyle name="20% - Énfasis5 2 3" xfId="415"/>
    <cellStyle name="20% - Énfasis5 2 4" xfId="416"/>
    <cellStyle name="20% - Énfasis5 2 5" xfId="417"/>
    <cellStyle name="20% - Énfasis5 2 6" xfId="418"/>
    <cellStyle name="20% - Énfasis5 2 7" xfId="419"/>
    <cellStyle name="20% - Énfasis5 2 8" xfId="413"/>
    <cellStyle name="20% - Énfasis5 3" xfId="50"/>
    <cellStyle name="20% - Énfasis5 4" xfId="143"/>
    <cellStyle name="20% - Énfasis5 5" xfId="144"/>
    <cellStyle name="20% - Énfasis5 6" xfId="145"/>
    <cellStyle name="20% - Énfasis5 7" xfId="146"/>
    <cellStyle name="20% - Énfasis5 8" xfId="147"/>
    <cellStyle name="20% - Énfasis5 9" xfId="420"/>
    <cellStyle name="20% - Énfasis5 9 2" xfId="421"/>
    <cellStyle name="20% - Énfasis6" xfId="6" builtinId="50" customBuiltin="1"/>
    <cellStyle name="20% - Énfasis6 10" xfId="422"/>
    <cellStyle name="20% - Énfasis6 10 2" xfId="423"/>
    <cellStyle name="20% - Énfasis6 11" xfId="424"/>
    <cellStyle name="20% - Énfasis6 11 2" xfId="425"/>
    <cellStyle name="20% - Énfasis6 12" xfId="426"/>
    <cellStyle name="20% - Énfasis6 12 2" xfId="427"/>
    <cellStyle name="20% - Énfasis6 13" xfId="903"/>
    <cellStyle name="20% - Énfasis6 2" xfId="56"/>
    <cellStyle name="20% - Énfasis6 2 2" xfId="429"/>
    <cellStyle name="20% - Énfasis6 2 3" xfId="430"/>
    <cellStyle name="20% - Énfasis6 2 4" xfId="431"/>
    <cellStyle name="20% - Énfasis6 2 5" xfId="432"/>
    <cellStyle name="20% - Énfasis6 2 6" xfId="433"/>
    <cellStyle name="20% - Énfasis6 2 7" xfId="434"/>
    <cellStyle name="20% - Énfasis6 2 8" xfId="428"/>
    <cellStyle name="20% - Énfasis6 3" xfId="73"/>
    <cellStyle name="20% - Énfasis6 4" xfId="148"/>
    <cellStyle name="20% - Énfasis6 5" xfId="149"/>
    <cellStyle name="20% - Énfasis6 6" xfId="150"/>
    <cellStyle name="20% - Énfasis6 7" xfId="151"/>
    <cellStyle name="20% - Énfasis6 8" xfId="152"/>
    <cellStyle name="20% - Énfasis6 9" xfId="435"/>
    <cellStyle name="20% - Énfasis6 9 2" xfId="436"/>
    <cellStyle name="40% - Énfasis1" xfId="7" builtinId="31" customBuiltin="1"/>
    <cellStyle name="40% - Énfasis1 10" xfId="437"/>
    <cellStyle name="40% - Énfasis1 10 2" xfId="438"/>
    <cellStyle name="40% - Énfasis1 11" xfId="439"/>
    <cellStyle name="40% - Énfasis1 11 2" xfId="440"/>
    <cellStyle name="40% - Énfasis1 12" xfId="441"/>
    <cellStyle name="40% - Énfasis1 12 2" xfId="442"/>
    <cellStyle name="40% - Énfasis1 13" xfId="904"/>
    <cellStyle name="40% - Énfasis1 2" xfId="57"/>
    <cellStyle name="40% - Énfasis1 2 2" xfId="444"/>
    <cellStyle name="40% - Énfasis1 2 3" xfId="445"/>
    <cellStyle name="40% - Énfasis1 2 4" xfId="446"/>
    <cellStyle name="40% - Énfasis1 2 5" xfId="447"/>
    <cellStyle name="40% - Énfasis1 2 6" xfId="448"/>
    <cellStyle name="40% - Énfasis1 2 7" xfId="449"/>
    <cellStyle name="40% - Énfasis1 2 8" xfId="443"/>
    <cellStyle name="40% - Énfasis1 3" xfId="92"/>
    <cellStyle name="40% - Énfasis1 4" xfId="153"/>
    <cellStyle name="40% - Énfasis1 5" xfId="154"/>
    <cellStyle name="40% - Énfasis1 6" xfId="155"/>
    <cellStyle name="40% - Énfasis1 7" xfId="156"/>
    <cellStyle name="40% - Énfasis1 8" xfId="157"/>
    <cellStyle name="40% - Énfasis1 9" xfId="450"/>
    <cellStyle name="40% - Énfasis1 9 2" xfId="451"/>
    <cellStyle name="40% - Énfasis2" xfId="8" builtinId="35" customBuiltin="1"/>
    <cellStyle name="40% - Énfasis2 10" xfId="452"/>
    <cellStyle name="40% - Énfasis2 10 2" xfId="453"/>
    <cellStyle name="40% - Énfasis2 11" xfId="454"/>
    <cellStyle name="40% - Énfasis2 11 2" xfId="455"/>
    <cellStyle name="40% - Énfasis2 12" xfId="456"/>
    <cellStyle name="40% - Énfasis2 12 2" xfId="457"/>
    <cellStyle name="40% - Énfasis2 13" xfId="905"/>
    <cellStyle name="40% - Énfasis2 2" xfId="58"/>
    <cellStyle name="40% - Énfasis2 2 2" xfId="459"/>
    <cellStyle name="40% - Énfasis2 2 3" xfId="460"/>
    <cellStyle name="40% - Énfasis2 2 4" xfId="461"/>
    <cellStyle name="40% - Énfasis2 2 5" xfId="462"/>
    <cellStyle name="40% - Énfasis2 2 6" xfId="463"/>
    <cellStyle name="40% - Énfasis2 2 7" xfId="464"/>
    <cellStyle name="40% - Énfasis2 2 8" xfId="458"/>
    <cellStyle name="40% - Énfasis2 3" xfId="93"/>
    <cellStyle name="40% - Énfasis2 4" xfId="158"/>
    <cellStyle name="40% - Énfasis2 5" xfId="159"/>
    <cellStyle name="40% - Énfasis2 6" xfId="160"/>
    <cellStyle name="40% - Énfasis2 7" xfId="161"/>
    <cellStyle name="40% - Énfasis2 8" xfId="162"/>
    <cellStyle name="40% - Énfasis2 9" xfId="465"/>
    <cellStyle name="40% - Énfasis2 9 2" xfId="466"/>
    <cellStyle name="40% - Énfasis3" xfId="9" builtinId="39" customBuiltin="1"/>
    <cellStyle name="40% - Énfasis3 10" xfId="467"/>
    <cellStyle name="40% - Énfasis3 10 2" xfId="468"/>
    <cellStyle name="40% - Énfasis3 11" xfId="469"/>
    <cellStyle name="40% - Énfasis3 11 2" xfId="470"/>
    <cellStyle name="40% - Énfasis3 12" xfId="471"/>
    <cellStyle name="40% - Énfasis3 12 2" xfId="472"/>
    <cellStyle name="40% - Énfasis3 13" xfId="906"/>
    <cellStyle name="40% - Énfasis3 2" xfId="59"/>
    <cellStyle name="40% - Énfasis3 2 2" xfId="474"/>
    <cellStyle name="40% - Énfasis3 2 3" xfId="475"/>
    <cellStyle name="40% - Énfasis3 2 4" xfId="476"/>
    <cellStyle name="40% - Énfasis3 2 5" xfId="477"/>
    <cellStyle name="40% - Énfasis3 2 6" xfId="478"/>
    <cellStyle name="40% - Énfasis3 2 7" xfId="479"/>
    <cellStyle name="40% - Énfasis3 2 8" xfId="473"/>
    <cellStyle name="40% - Énfasis3 3" xfId="94"/>
    <cellStyle name="40% - Énfasis3 4" xfId="163"/>
    <cellStyle name="40% - Énfasis3 5" xfId="164"/>
    <cellStyle name="40% - Énfasis3 6" xfId="165"/>
    <cellStyle name="40% - Énfasis3 7" xfId="166"/>
    <cellStyle name="40% - Énfasis3 8" xfId="167"/>
    <cellStyle name="40% - Énfasis3 9" xfId="480"/>
    <cellStyle name="40% - Énfasis3 9 2" xfId="481"/>
    <cellStyle name="40% - Énfasis4" xfId="10" builtinId="43" customBuiltin="1"/>
    <cellStyle name="40% - Énfasis4 10" xfId="482"/>
    <cellStyle name="40% - Énfasis4 10 2" xfId="483"/>
    <cellStyle name="40% - Énfasis4 11" xfId="484"/>
    <cellStyle name="40% - Énfasis4 11 2" xfId="485"/>
    <cellStyle name="40% - Énfasis4 12" xfId="486"/>
    <cellStyle name="40% - Énfasis4 12 2" xfId="487"/>
    <cellStyle name="40% - Énfasis4 13" xfId="907"/>
    <cellStyle name="40% - Énfasis4 2" xfId="60"/>
    <cellStyle name="40% - Énfasis4 2 2" xfId="489"/>
    <cellStyle name="40% - Énfasis4 2 3" xfId="490"/>
    <cellStyle name="40% - Énfasis4 2 4" xfId="491"/>
    <cellStyle name="40% - Énfasis4 2 5" xfId="492"/>
    <cellStyle name="40% - Énfasis4 2 6" xfId="493"/>
    <cellStyle name="40% - Énfasis4 2 7" xfId="494"/>
    <cellStyle name="40% - Énfasis4 2 8" xfId="488"/>
    <cellStyle name="40% - Énfasis4 3" xfId="95"/>
    <cellStyle name="40% - Énfasis4 4" xfId="168"/>
    <cellStyle name="40% - Énfasis4 5" xfId="169"/>
    <cellStyle name="40% - Énfasis4 6" xfId="170"/>
    <cellStyle name="40% - Énfasis4 7" xfId="171"/>
    <cellStyle name="40% - Énfasis4 8" xfId="172"/>
    <cellStyle name="40% - Énfasis4 9" xfId="495"/>
    <cellStyle name="40% - Énfasis4 9 2" xfId="496"/>
    <cellStyle name="40% - Énfasis5" xfId="11" builtinId="47" customBuiltin="1"/>
    <cellStyle name="40% - Énfasis5 10" xfId="497"/>
    <cellStyle name="40% - Énfasis5 10 2" xfId="498"/>
    <cellStyle name="40% - Énfasis5 11" xfId="499"/>
    <cellStyle name="40% - Énfasis5 11 2" xfId="500"/>
    <cellStyle name="40% - Énfasis5 12" xfId="501"/>
    <cellStyle name="40% - Énfasis5 12 2" xfId="502"/>
    <cellStyle name="40% - Énfasis5 13" xfId="908"/>
    <cellStyle name="40% - Énfasis5 2" xfId="61"/>
    <cellStyle name="40% - Énfasis5 2 2" xfId="504"/>
    <cellStyle name="40% - Énfasis5 2 3" xfId="505"/>
    <cellStyle name="40% - Énfasis5 2 4" xfId="506"/>
    <cellStyle name="40% - Énfasis5 2 5" xfId="507"/>
    <cellStyle name="40% - Énfasis5 2 6" xfId="508"/>
    <cellStyle name="40% - Énfasis5 2 7" xfId="509"/>
    <cellStyle name="40% - Énfasis5 2 8" xfId="503"/>
    <cellStyle name="40% - Énfasis5 3" xfId="96"/>
    <cellStyle name="40% - Énfasis5 4" xfId="173"/>
    <cellStyle name="40% - Énfasis5 5" xfId="174"/>
    <cellStyle name="40% - Énfasis5 6" xfId="175"/>
    <cellStyle name="40% - Énfasis5 7" xfId="176"/>
    <cellStyle name="40% - Énfasis5 8" xfId="177"/>
    <cellStyle name="40% - Énfasis5 9" xfId="510"/>
    <cellStyle name="40% - Énfasis5 9 2" xfId="511"/>
    <cellStyle name="40% - Énfasis6" xfId="12" builtinId="51" customBuiltin="1"/>
    <cellStyle name="40% - Énfasis6 10" xfId="512"/>
    <cellStyle name="40% - Énfasis6 10 2" xfId="513"/>
    <cellStyle name="40% - Énfasis6 11" xfId="514"/>
    <cellStyle name="40% - Énfasis6 11 2" xfId="515"/>
    <cellStyle name="40% - Énfasis6 12" xfId="516"/>
    <cellStyle name="40% - Énfasis6 12 2" xfId="517"/>
    <cellStyle name="40% - Énfasis6 13" xfId="909"/>
    <cellStyle name="40% - Énfasis6 2" xfId="62"/>
    <cellStyle name="40% - Énfasis6 2 2" xfId="519"/>
    <cellStyle name="40% - Énfasis6 2 3" xfId="520"/>
    <cellStyle name="40% - Énfasis6 2 4" xfId="521"/>
    <cellStyle name="40% - Énfasis6 2 5" xfId="522"/>
    <cellStyle name="40% - Énfasis6 2 6" xfId="523"/>
    <cellStyle name="40% - Énfasis6 2 7" xfId="524"/>
    <cellStyle name="40% - Énfasis6 2 8" xfId="518"/>
    <cellStyle name="40% - Énfasis6 3" xfId="97"/>
    <cellStyle name="40% - Énfasis6 4" xfId="178"/>
    <cellStyle name="40% - Énfasis6 5" xfId="179"/>
    <cellStyle name="40% - Énfasis6 6" xfId="180"/>
    <cellStyle name="40% - Énfasis6 7" xfId="181"/>
    <cellStyle name="40% - Énfasis6 8" xfId="182"/>
    <cellStyle name="40% - Énfasis6 9" xfId="525"/>
    <cellStyle name="40% - Énfasis6 9 2" xfId="526"/>
    <cellStyle name="60% - Énfasis1" xfId="13" builtinId="32" customBuiltin="1"/>
    <cellStyle name="60% - Énfasis1 10" xfId="527"/>
    <cellStyle name="60% - Énfasis1 10 2" xfId="528"/>
    <cellStyle name="60% - Énfasis1 11" xfId="529"/>
    <cellStyle name="60% - Énfasis1 11 2" xfId="530"/>
    <cellStyle name="60% - Énfasis1 12" xfId="531"/>
    <cellStyle name="60% - Énfasis1 12 2" xfId="532"/>
    <cellStyle name="60% - Énfasis1 13" xfId="910"/>
    <cellStyle name="60% - Énfasis1 2" xfId="63"/>
    <cellStyle name="60% - Énfasis1 2 2" xfId="534"/>
    <cellStyle name="60% - Énfasis1 2 3" xfId="535"/>
    <cellStyle name="60% - Énfasis1 2 4" xfId="536"/>
    <cellStyle name="60% - Énfasis1 2 5" xfId="537"/>
    <cellStyle name="60% - Énfasis1 2 6" xfId="538"/>
    <cellStyle name="60% - Énfasis1 2 7" xfId="539"/>
    <cellStyle name="60% - Énfasis1 2 8" xfId="533"/>
    <cellStyle name="60% - Énfasis1 3" xfId="98"/>
    <cellStyle name="60% - Énfasis1 4" xfId="183"/>
    <cellStyle name="60% - Énfasis1 5" xfId="184"/>
    <cellStyle name="60% - Énfasis1 6" xfId="185"/>
    <cellStyle name="60% - Énfasis1 7" xfId="186"/>
    <cellStyle name="60% - Énfasis1 8" xfId="187"/>
    <cellStyle name="60% - Énfasis1 9" xfId="540"/>
    <cellStyle name="60% - Énfasis1 9 2" xfId="541"/>
    <cellStyle name="60% - Énfasis2" xfId="14" builtinId="36" customBuiltin="1"/>
    <cellStyle name="60% - Énfasis2 10" xfId="542"/>
    <cellStyle name="60% - Énfasis2 10 2" xfId="543"/>
    <cellStyle name="60% - Énfasis2 11" xfId="544"/>
    <cellStyle name="60% - Énfasis2 11 2" xfId="545"/>
    <cellStyle name="60% - Énfasis2 12" xfId="546"/>
    <cellStyle name="60% - Énfasis2 12 2" xfId="547"/>
    <cellStyle name="60% - Énfasis2 13" xfId="911"/>
    <cellStyle name="60% - Énfasis2 2" xfId="64"/>
    <cellStyle name="60% - Énfasis2 2 2" xfId="549"/>
    <cellStyle name="60% - Énfasis2 2 3" xfId="550"/>
    <cellStyle name="60% - Énfasis2 2 4" xfId="551"/>
    <cellStyle name="60% - Énfasis2 2 5" xfId="552"/>
    <cellStyle name="60% - Énfasis2 2 6" xfId="553"/>
    <cellStyle name="60% - Énfasis2 2 7" xfId="554"/>
    <cellStyle name="60% - Énfasis2 2 8" xfId="548"/>
    <cellStyle name="60% - Énfasis2 3" xfId="99"/>
    <cellStyle name="60% - Énfasis2 4" xfId="188"/>
    <cellStyle name="60% - Énfasis2 5" xfId="189"/>
    <cellStyle name="60% - Énfasis2 6" xfId="190"/>
    <cellStyle name="60% - Énfasis2 7" xfId="191"/>
    <cellStyle name="60% - Énfasis2 8" xfId="192"/>
    <cellStyle name="60% - Énfasis2 9" xfId="555"/>
    <cellStyle name="60% - Énfasis2 9 2" xfId="556"/>
    <cellStyle name="60% - Énfasis3" xfId="15" builtinId="40" customBuiltin="1"/>
    <cellStyle name="60% - Énfasis3 10" xfId="557"/>
    <cellStyle name="60% - Énfasis3 10 2" xfId="558"/>
    <cellStyle name="60% - Énfasis3 11" xfId="559"/>
    <cellStyle name="60% - Énfasis3 11 2" xfId="560"/>
    <cellStyle name="60% - Énfasis3 12" xfId="561"/>
    <cellStyle name="60% - Énfasis3 12 2" xfId="562"/>
    <cellStyle name="60% - Énfasis3 13" xfId="912"/>
    <cellStyle name="60% - Énfasis3 2" xfId="65"/>
    <cellStyle name="60% - Énfasis3 2 2" xfId="564"/>
    <cellStyle name="60% - Énfasis3 2 3" xfId="565"/>
    <cellStyle name="60% - Énfasis3 2 4" xfId="566"/>
    <cellStyle name="60% - Énfasis3 2 5" xfId="567"/>
    <cellStyle name="60% - Énfasis3 2 6" xfId="568"/>
    <cellStyle name="60% - Énfasis3 2 7" xfId="569"/>
    <cellStyle name="60% - Énfasis3 2 8" xfId="563"/>
    <cellStyle name="60% - Énfasis3 3" xfId="100"/>
    <cellStyle name="60% - Énfasis3 4" xfId="193"/>
    <cellStyle name="60% - Énfasis3 5" xfId="194"/>
    <cellStyle name="60% - Énfasis3 6" xfId="195"/>
    <cellStyle name="60% - Énfasis3 7" xfId="196"/>
    <cellStyle name="60% - Énfasis3 8" xfId="197"/>
    <cellStyle name="60% - Énfasis3 9" xfId="570"/>
    <cellStyle name="60% - Énfasis3 9 2" xfId="571"/>
    <cellStyle name="60% - Énfasis4" xfId="16" builtinId="44" customBuiltin="1"/>
    <cellStyle name="60% - Énfasis4 10" xfId="572"/>
    <cellStyle name="60% - Énfasis4 10 2" xfId="573"/>
    <cellStyle name="60% - Énfasis4 11" xfId="574"/>
    <cellStyle name="60% - Énfasis4 11 2" xfId="575"/>
    <cellStyle name="60% - Énfasis4 12" xfId="576"/>
    <cellStyle name="60% - Énfasis4 12 2" xfId="577"/>
    <cellStyle name="60% - Énfasis4 13" xfId="913"/>
    <cellStyle name="60% - Énfasis4 2" xfId="66"/>
    <cellStyle name="60% - Énfasis4 2 2" xfId="579"/>
    <cellStyle name="60% - Énfasis4 2 3" xfId="580"/>
    <cellStyle name="60% - Énfasis4 2 4" xfId="581"/>
    <cellStyle name="60% - Énfasis4 2 5" xfId="582"/>
    <cellStyle name="60% - Énfasis4 2 6" xfId="583"/>
    <cellStyle name="60% - Énfasis4 2 7" xfId="584"/>
    <cellStyle name="60% - Énfasis4 2 8" xfId="578"/>
    <cellStyle name="60% - Énfasis4 3" xfId="101"/>
    <cellStyle name="60% - Énfasis4 4" xfId="198"/>
    <cellStyle name="60% - Énfasis4 5" xfId="199"/>
    <cellStyle name="60% - Énfasis4 6" xfId="200"/>
    <cellStyle name="60% - Énfasis4 7" xfId="201"/>
    <cellStyle name="60% - Énfasis4 8" xfId="202"/>
    <cellStyle name="60% - Énfasis4 9" xfId="585"/>
    <cellStyle name="60% - Énfasis4 9 2" xfId="586"/>
    <cellStyle name="60% - Énfasis5" xfId="17" builtinId="48" customBuiltin="1"/>
    <cellStyle name="60% - Énfasis5 10" xfId="587"/>
    <cellStyle name="60% - Énfasis5 10 2" xfId="588"/>
    <cellStyle name="60% - Énfasis5 11" xfId="589"/>
    <cellStyle name="60% - Énfasis5 11 2" xfId="590"/>
    <cellStyle name="60% - Énfasis5 12" xfId="591"/>
    <cellStyle name="60% - Énfasis5 12 2" xfId="592"/>
    <cellStyle name="60% - Énfasis5 13" xfId="914"/>
    <cellStyle name="60% - Énfasis5 2" xfId="67"/>
    <cellStyle name="60% - Énfasis5 2 2" xfId="594"/>
    <cellStyle name="60% - Énfasis5 2 3" xfId="595"/>
    <cellStyle name="60% - Énfasis5 2 4" xfId="596"/>
    <cellStyle name="60% - Énfasis5 2 5" xfId="597"/>
    <cellStyle name="60% - Énfasis5 2 6" xfId="598"/>
    <cellStyle name="60% - Énfasis5 2 7" xfId="599"/>
    <cellStyle name="60% - Énfasis5 2 8" xfId="593"/>
    <cellStyle name="60% - Énfasis5 3" xfId="102"/>
    <cellStyle name="60% - Énfasis5 4" xfId="203"/>
    <cellStyle name="60% - Énfasis5 5" xfId="204"/>
    <cellStyle name="60% - Énfasis5 6" xfId="205"/>
    <cellStyle name="60% - Énfasis5 7" xfId="206"/>
    <cellStyle name="60% - Énfasis5 8" xfId="207"/>
    <cellStyle name="60% - Énfasis5 9" xfId="600"/>
    <cellStyle name="60% - Énfasis5 9 2" xfId="601"/>
    <cellStyle name="60% - Énfasis6" xfId="18" builtinId="52" customBuiltin="1"/>
    <cellStyle name="60% - Énfasis6 10" xfId="602"/>
    <cellStyle name="60% - Énfasis6 10 2" xfId="603"/>
    <cellStyle name="60% - Énfasis6 11" xfId="604"/>
    <cellStyle name="60% - Énfasis6 11 2" xfId="605"/>
    <cellStyle name="60% - Énfasis6 12" xfId="606"/>
    <cellStyle name="60% - Énfasis6 12 2" xfId="607"/>
    <cellStyle name="60% - Énfasis6 13" xfId="915"/>
    <cellStyle name="60% - Énfasis6 2" xfId="68"/>
    <cellStyle name="60% - Énfasis6 2 2" xfId="609"/>
    <cellStyle name="60% - Énfasis6 2 3" xfId="610"/>
    <cellStyle name="60% - Énfasis6 2 4" xfId="611"/>
    <cellStyle name="60% - Énfasis6 2 5" xfId="612"/>
    <cellStyle name="60% - Énfasis6 2 6" xfId="613"/>
    <cellStyle name="60% - Énfasis6 2 7" xfId="614"/>
    <cellStyle name="60% - Énfasis6 2 8" xfId="608"/>
    <cellStyle name="60% - Énfasis6 3" xfId="103"/>
    <cellStyle name="60% - Énfasis6 4" xfId="208"/>
    <cellStyle name="60% - Énfasis6 5" xfId="209"/>
    <cellStyle name="60% - Énfasis6 6" xfId="210"/>
    <cellStyle name="60% - Énfasis6 7" xfId="211"/>
    <cellStyle name="60% - Énfasis6 8" xfId="212"/>
    <cellStyle name="60% - Énfasis6 9" xfId="615"/>
    <cellStyle name="60% - Énfasis6 9 2" xfId="616"/>
    <cellStyle name="Buena" xfId="19" builtinId="26" customBuiltin="1"/>
    <cellStyle name="Buena 10" xfId="617"/>
    <cellStyle name="Buena 10 2" xfId="618"/>
    <cellStyle name="Buena 11" xfId="619"/>
    <cellStyle name="Buena 11 2" xfId="620"/>
    <cellStyle name="Buena 12" xfId="621"/>
    <cellStyle name="Buena 12 2" xfId="622"/>
    <cellStyle name="Buena 13" xfId="916"/>
    <cellStyle name="Buena 2" xfId="69"/>
    <cellStyle name="Buena 2 2" xfId="624"/>
    <cellStyle name="Buena 2 3" xfId="625"/>
    <cellStyle name="Buena 2 4" xfId="626"/>
    <cellStyle name="Buena 2 5" xfId="627"/>
    <cellStyle name="Buena 2 6" xfId="628"/>
    <cellStyle name="Buena 2 7" xfId="629"/>
    <cellStyle name="Buena 2 8" xfId="623"/>
    <cellStyle name="Buena 3" xfId="104"/>
    <cellStyle name="Buena 4" xfId="213"/>
    <cellStyle name="Buena 5" xfId="214"/>
    <cellStyle name="Buena 6" xfId="215"/>
    <cellStyle name="Buena 7" xfId="216"/>
    <cellStyle name="Buena 8" xfId="217"/>
    <cellStyle name="Buena 9" xfId="630"/>
    <cellStyle name="Buena 9 2" xfId="631"/>
    <cellStyle name="Cálculo" xfId="20" builtinId="22" customBuiltin="1"/>
    <cellStyle name="Cálculo 10" xfId="632"/>
    <cellStyle name="Cálculo 10 2" xfId="633"/>
    <cellStyle name="Cálculo 11" xfId="634"/>
    <cellStyle name="Cálculo 11 2" xfId="635"/>
    <cellStyle name="Cálculo 12" xfId="636"/>
    <cellStyle name="Cálculo 12 2" xfId="637"/>
    <cellStyle name="Cálculo 13" xfId="917"/>
    <cellStyle name="Cálculo 2" xfId="70"/>
    <cellStyle name="Cálculo 2 2" xfId="639"/>
    <cellStyle name="Cálculo 2 3" xfId="640"/>
    <cellStyle name="Cálculo 2 4" xfId="641"/>
    <cellStyle name="Cálculo 2 5" xfId="642"/>
    <cellStyle name="Cálculo 2 6" xfId="643"/>
    <cellStyle name="Cálculo 2 7" xfId="644"/>
    <cellStyle name="Cálculo 2 8" xfId="638"/>
    <cellStyle name="Cálculo 3" xfId="105"/>
    <cellStyle name="Cálculo 4" xfId="218"/>
    <cellStyle name="Cálculo 5" xfId="219"/>
    <cellStyle name="Cálculo 6" xfId="220"/>
    <cellStyle name="Cálculo 7" xfId="221"/>
    <cellStyle name="Cálculo 8" xfId="222"/>
    <cellStyle name="Cálculo 9" xfId="645"/>
    <cellStyle name="Cálculo 9 2" xfId="646"/>
    <cellStyle name="Celda de comprobación" xfId="21" builtinId="23" customBuiltin="1"/>
    <cellStyle name="Celda de comprobación 10" xfId="647"/>
    <cellStyle name="Celda de comprobación 10 2" xfId="648"/>
    <cellStyle name="Celda de comprobación 11" xfId="649"/>
    <cellStyle name="Celda de comprobación 11 2" xfId="650"/>
    <cellStyle name="Celda de comprobación 12" xfId="651"/>
    <cellStyle name="Celda de comprobación 12 2" xfId="652"/>
    <cellStyle name="Celda de comprobación 13" xfId="918"/>
    <cellStyle name="Celda de comprobación 2" xfId="71"/>
    <cellStyle name="Celda de comprobación 2 2" xfId="654"/>
    <cellStyle name="Celda de comprobación 2 3" xfId="655"/>
    <cellStyle name="Celda de comprobación 2 4" xfId="656"/>
    <cellStyle name="Celda de comprobación 2 5" xfId="657"/>
    <cellStyle name="Celda de comprobación 2 6" xfId="658"/>
    <cellStyle name="Celda de comprobación 2 7" xfId="659"/>
    <cellStyle name="Celda de comprobación 2 8" xfId="653"/>
    <cellStyle name="Celda de comprobación 3" xfId="106"/>
    <cellStyle name="Celda de comprobación 4" xfId="223"/>
    <cellStyle name="Celda de comprobación 5" xfId="224"/>
    <cellStyle name="Celda de comprobación 6" xfId="225"/>
    <cellStyle name="Celda de comprobación 7" xfId="226"/>
    <cellStyle name="Celda de comprobación 8" xfId="227"/>
    <cellStyle name="Celda de comprobación 9" xfId="660"/>
    <cellStyle name="Celda de comprobación 9 2" xfId="661"/>
    <cellStyle name="Celda vinculada" xfId="22" builtinId="24" customBuiltin="1"/>
    <cellStyle name="Celda vinculada 10" xfId="662"/>
    <cellStyle name="Celda vinculada 10 2" xfId="663"/>
    <cellStyle name="Celda vinculada 11" xfId="664"/>
    <cellStyle name="Celda vinculada 11 2" xfId="665"/>
    <cellStyle name="Celda vinculada 12" xfId="666"/>
    <cellStyle name="Celda vinculada 12 2" xfId="667"/>
    <cellStyle name="Celda vinculada 13" xfId="919"/>
    <cellStyle name="Celda vinculada 2" xfId="72"/>
    <cellStyle name="Celda vinculada 2 2" xfId="669"/>
    <cellStyle name="Celda vinculada 2 3" xfId="670"/>
    <cellStyle name="Celda vinculada 2 4" xfId="671"/>
    <cellStyle name="Celda vinculada 2 5" xfId="672"/>
    <cellStyle name="Celda vinculada 2 6" xfId="673"/>
    <cellStyle name="Celda vinculada 2 7" xfId="674"/>
    <cellStyle name="Celda vinculada 2 8" xfId="668"/>
    <cellStyle name="Celda vinculada 3" xfId="107"/>
    <cellStyle name="Celda vinculada 4" xfId="228"/>
    <cellStyle name="Celda vinculada 5" xfId="229"/>
    <cellStyle name="Celda vinculada 6" xfId="230"/>
    <cellStyle name="Celda vinculada 7" xfId="231"/>
    <cellStyle name="Celda vinculada 8" xfId="232"/>
    <cellStyle name="Celda vinculada 9" xfId="675"/>
    <cellStyle name="Celda vinculada 9 2" xfId="676"/>
    <cellStyle name="Encabezado 1" xfId="46" builtinId="16" customBuiltin="1"/>
    <cellStyle name="Encabezado 4" xfId="23" builtinId="19" customBuiltin="1"/>
    <cellStyle name="Encabezado 4 2" xfId="233"/>
    <cellStyle name="Encabezado 4 3" xfId="234"/>
    <cellStyle name="Encabezado 4 4" xfId="235"/>
    <cellStyle name="Encabezado 4 5" xfId="236"/>
    <cellStyle name="Encabezado 4 6" xfId="237"/>
    <cellStyle name="Encabezado 4 7" xfId="238"/>
    <cellStyle name="Encabezado 4 8" xfId="239"/>
    <cellStyle name="Encabezado 4 9" xfId="920"/>
    <cellStyle name="Énfasis1" xfId="24" builtinId="29" customBuiltin="1"/>
    <cellStyle name="Énfasis1 10" xfId="677"/>
    <cellStyle name="Énfasis1 10 2" xfId="678"/>
    <cellStyle name="Énfasis1 11" xfId="679"/>
    <cellStyle name="Énfasis1 11 2" xfId="680"/>
    <cellStyle name="Énfasis1 12" xfId="681"/>
    <cellStyle name="Énfasis1 12 2" xfId="682"/>
    <cellStyle name="Énfasis1 13" xfId="921"/>
    <cellStyle name="Énfasis1 2" xfId="74"/>
    <cellStyle name="Énfasis1 2 2" xfId="684"/>
    <cellStyle name="Énfasis1 2 3" xfId="685"/>
    <cellStyle name="Énfasis1 2 4" xfId="686"/>
    <cellStyle name="Énfasis1 2 5" xfId="687"/>
    <cellStyle name="Énfasis1 2 6" xfId="688"/>
    <cellStyle name="Énfasis1 2 7" xfId="689"/>
    <cellStyle name="Énfasis1 2 8" xfId="683"/>
    <cellStyle name="Énfasis1 3" xfId="108"/>
    <cellStyle name="Énfasis1 4" xfId="240"/>
    <cellStyle name="Énfasis1 5" xfId="241"/>
    <cellStyle name="Énfasis1 6" xfId="242"/>
    <cellStyle name="Énfasis1 7" xfId="243"/>
    <cellStyle name="Énfasis1 8" xfId="244"/>
    <cellStyle name="Énfasis1 9" xfId="690"/>
    <cellStyle name="Énfasis1 9 2" xfId="691"/>
    <cellStyle name="Énfasis2" xfId="25" builtinId="33" customBuiltin="1"/>
    <cellStyle name="Énfasis2 10" xfId="692"/>
    <cellStyle name="Énfasis2 10 2" xfId="693"/>
    <cellStyle name="Énfasis2 11" xfId="694"/>
    <cellStyle name="Énfasis2 11 2" xfId="695"/>
    <cellStyle name="Énfasis2 12" xfId="696"/>
    <cellStyle name="Énfasis2 12 2" xfId="697"/>
    <cellStyle name="Énfasis2 13" xfId="922"/>
    <cellStyle name="Énfasis2 2" xfId="75"/>
    <cellStyle name="Énfasis2 2 2" xfId="699"/>
    <cellStyle name="Énfasis2 2 3" xfId="700"/>
    <cellStyle name="Énfasis2 2 4" xfId="701"/>
    <cellStyle name="Énfasis2 2 5" xfId="702"/>
    <cellStyle name="Énfasis2 2 6" xfId="703"/>
    <cellStyle name="Énfasis2 2 7" xfId="704"/>
    <cellStyle name="Énfasis2 2 8" xfId="698"/>
    <cellStyle name="Énfasis2 3" xfId="109"/>
    <cellStyle name="Énfasis2 4" xfId="245"/>
    <cellStyle name="Énfasis2 5" xfId="246"/>
    <cellStyle name="Énfasis2 6" xfId="247"/>
    <cellStyle name="Énfasis2 7" xfId="248"/>
    <cellStyle name="Énfasis2 8" xfId="249"/>
    <cellStyle name="Énfasis2 9" xfId="705"/>
    <cellStyle name="Énfasis2 9 2" xfId="706"/>
    <cellStyle name="Énfasis3" xfId="26" builtinId="37" customBuiltin="1"/>
    <cellStyle name="Énfasis3 10" xfId="707"/>
    <cellStyle name="Énfasis3 10 2" xfId="708"/>
    <cellStyle name="Énfasis3 11" xfId="709"/>
    <cellStyle name="Énfasis3 11 2" xfId="710"/>
    <cellStyle name="Énfasis3 12" xfId="711"/>
    <cellStyle name="Énfasis3 12 2" xfId="712"/>
    <cellStyle name="Énfasis3 13" xfId="923"/>
    <cellStyle name="Énfasis3 2" xfId="76"/>
    <cellStyle name="Énfasis3 2 2" xfId="714"/>
    <cellStyle name="Énfasis3 2 3" xfId="715"/>
    <cellStyle name="Énfasis3 2 4" xfId="716"/>
    <cellStyle name="Énfasis3 2 5" xfId="717"/>
    <cellStyle name="Énfasis3 2 6" xfId="718"/>
    <cellStyle name="Énfasis3 2 7" xfId="719"/>
    <cellStyle name="Énfasis3 2 8" xfId="713"/>
    <cellStyle name="Énfasis3 3" xfId="110"/>
    <cellStyle name="Énfasis3 4" xfId="250"/>
    <cellStyle name="Énfasis3 5" xfId="251"/>
    <cellStyle name="Énfasis3 6" xfId="252"/>
    <cellStyle name="Énfasis3 7" xfId="253"/>
    <cellStyle name="Énfasis3 8" xfId="254"/>
    <cellStyle name="Énfasis3 9" xfId="720"/>
    <cellStyle name="Énfasis3 9 2" xfId="721"/>
    <cellStyle name="Énfasis4" xfId="27" builtinId="41" customBuiltin="1"/>
    <cellStyle name="Énfasis4 10" xfId="722"/>
    <cellStyle name="Énfasis4 10 2" xfId="723"/>
    <cellStyle name="Énfasis4 11" xfId="724"/>
    <cellStyle name="Énfasis4 11 2" xfId="725"/>
    <cellStyle name="Énfasis4 12" xfId="726"/>
    <cellStyle name="Énfasis4 12 2" xfId="727"/>
    <cellStyle name="Énfasis4 13" xfId="924"/>
    <cellStyle name="Énfasis4 2" xfId="77"/>
    <cellStyle name="Énfasis4 2 2" xfId="729"/>
    <cellStyle name="Énfasis4 2 3" xfId="730"/>
    <cellStyle name="Énfasis4 2 4" xfId="731"/>
    <cellStyle name="Énfasis4 2 5" xfId="732"/>
    <cellStyle name="Énfasis4 2 6" xfId="733"/>
    <cellStyle name="Énfasis4 2 7" xfId="734"/>
    <cellStyle name="Énfasis4 2 8" xfId="728"/>
    <cellStyle name="Énfasis4 3" xfId="111"/>
    <cellStyle name="Énfasis4 4" xfId="255"/>
    <cellStyle name="Énfasis4 5" xfId="256"/>
    <cellStyle name="Énfasis4 6" xfId="257"/>
    <cellStyle name="Énfasis4 7" xfId="258"/>
    <cellStyle name="Énfasis4 8" xfId="259"/>
    <cellStyle name="Énfasis4 9" xfId="735"/>
    <cellStyle name="Énfasis4 9 2" xfId="736"/>
    <cellStyle name="Énfasis5" xfId="28" builtinId="45" customBuiltin="1"/>
    <cellStyle name="Énfasis5 10" xfId="737"/>
    <cellStyle name="Énfasis5 10 2" xfId="738"/>
    <cellStyle name="Énfasis5 11" xfId="739"/>
    <cellStyle name="Énfasis5 11 2" xfId="740"/>
    <cellStyle name="Énfasis5 12" xfId="741"/>
    <cellStyle name="Énfasis5 12 2" xfId="742"/>
    <cellStyle name="Énfasis5 13" xfId="925"/>
    <cellStyle name="Énfasis5 2" xfId="78"/>
    <cellStyle name="Énfasis5 2 2" xfId="744"/>
    <cellStyle name="Énfasis5 2 3" xfId="745"/>
    <cellStyle name="Énfasis5 2 4" xfId="746"/>
    <cellStyle name="Énfasis5 2 5" xfId="747"/>
    <cellStyle name="Énfasis5 2 6" xfId="748"/>
    <cellStyle name="Énfasis5 2 7" xfId="749"/>
    <cellStyle name="Énfasis5 2 8" xfId="743"/>
    <cellStyle name="Énfasis5 3" xfId="112"/>
    <cellStyle name="Énfasis5 4" xfId="260"/>
    <cellStyle name="Énfasis5 5" xfId="261"/>
    <cellStyle name="Énfasis5 6" xfId="262"/>
    <cellStyle name="Énfasis5 7" xfId="263"/>
    <cellStyle name="Énfasis5 8" xfId="264"/>
    <cellStyle name="Énfasis5 9" xfId="750"/>
    <cellStyle name="Énfasis5 9 2" xfId="751"/>
    <cellStyle name="Énfasis6" xfId="29" builtinId="49" customBuiltin="1"/>
    <cellStyle name="Énfasis6 10" xfId="752"/>
    <cellStyle name="Énfasis6 10 2" xfId="753"/>
    <cellStyle name="Énfasis6 11" xfId="754"/>
    <cellStyle name="Énfasis6 11 2" xfId="755"/>
    <cellStyle name="Énfasis6 12" xfId="756"/>
    <cellStyle name="Énfasis6 12 2" xfId="757"/>
    <cellStyle name="Énfasis6 13" xfId="926"/>
    <cellStyle name="Énfasis6 2" xfId="79"/>
    <cellStyle name="Énfasis6 2 2" xfId="759"/>
    <cellStyle name="Énfasis6 2 3" xfId="760"/>
    <cellStyle name="Énfasis6 2 4" xfId="761"/>
    <cellStyle name="Énfasis6 2 5" xfId="762"/>
    <cellStyle name="Énfasis6 2 6" xfId="763"/>
    <cellStyle name="Énfasis6 2 7" xfId="764"/>
    <cellStyle name="Énfasis6 2 8" xfId="758"/>
    <cellStyle name="Énfasis6 3" xfId="113"/>
    <cellStyle name="Énfasis6 4" xfId="265"/>
    <cellStyle name="Énfasis6 5" xfId="266"/>
    <cellStyle name="Énfasis6 6" xfId="267"/>
    <cellStyle name="Énfasis6 7" xfId="268"/>
    <cellStyle name="Énfasis6 8" xfId="269"/>
    <cellStyle name="Énfasis6 9" xfId="765"/>
    <cellStyle name="Énfasis6 9 2" xfId="766"/>
    <cellStyle name="Entrada" xfId="30" builtinId="20" customBuiltin="1"/>
    <cellStyle name="Entrada 10" xfId="767"/>
    <cellStyle name="Entrada 10 2" xfId="768"/>
    <cellStyle name="Entrada 11" xfId="769"/>
    <cellStyle name="Entrada 11 2" xfId="770"/>
    <cellStyle name="Entrada 12" xfId="771"/>
    <cellStyle name="Entrada 12 2" xfId="772"/>
    <cellStyle name="Entrada 13" xfId="927"/>
    <cellStyle name="Entrada 2" xfId="80"/>
    <cellStyle name="Entrada 2 2" xfId="774"/>
    <cellStyle name="Entrada 2 3" xfId="775"/>
    <cellStyle name="Entrada 2 4" xfId="776"/>
    <cellStyle name="Entrada 2 5" xfId="777"/>
    <cellStyle name="Entrada 2 6" xfId="778"/>
    <cellStyle name="Entrada 2 7" xfId="779"/>
    <cellStyle name="Entrada 2 8" xfId="773"/>
    <cellStyle name="Entrada 3" xfId="114"/>
    <cellStyle name="Entrada 4" xfId="270"/>
    <cellStyle name="Entrada 5" xfId="271"/>
    <cellStyle name="Entrada 6" xfId="272"/>
    <cellStyle name="Entrada 7" xfId="273"/>
    <cellStyle name="Entrada 8" xfId="274"/>
    <cellStyle name="Entrada 9" xfId="780"/>
    <cellStyle name="Entrada 9 2" xfId="781"/>
    <cellStyle name="Euro" xfId="31"/>
    <cellStyle name="Euro 2" xfId="275"/>
    <cellStyle name="Incorrecto" xfId="32" builtinId="27" customBuiltin="1"/>
    <cellStyle name="Incorrecto 10" xfId="782"/>
    <cellStyle name="Incorrecto 10 2" xfId="783"/>
    <cellStyle name="Incorrecto 11" xfId="784"/>
    <cellStyle name="Incorrecto 11 2" xfId="785"/>
    <cellStyle name="Incorrecto 12" xfId="786"/>
    <cellStyle name="Incorrecto 12 2" xfId="787"/>
    <cellStyle name="Incorrecto 13" xfId="928"/>
    <cellStyle name="Incorrecto 2" xfId="81"/>
    <cellStyle name="Incorrecto 2 2" xfId="789"/>
    <cellStyle name="Incorrecto 2 3" xfId="790"/>
    <cellStyle name="Incorrecto 2 4" xfId="791"/>
    <cellStyle name="Incorrecto 2 5" xfId="792"/>
    <cellStyle name="Incorrecto 2 6" xfId="793"/>
    <cellStyle name="Incorrecto 2 7" xfId="794"/>
    <cellStyle name="Incorrecto 2 8" xfId="788"/>
    <cellStyle name="Incorrecto 3" xfId="115"/>
    <cellStyle name="Incorrecto 4" xfId="276"/>
    <cellStyle name="Incorrecto 5" xfId="277"/>
    <cellStyle name="Incorrecto 6" xfId="278"/>
    <cellStyle name="Incorrecto 7" xfId="279"/>
    <cellStyle name="Incorrecto 8" xfId="280"/>
    <cellStyle name="Incorrecto 9" xfId="795"/>
    <cellStyle name="Incorrecto 9 2" xfId="796"/>
    <cellStyle name="Millares" xfId="33" builtinId="3"/>
    <cellStyle name="Millares 2" xfId="34"/>
    <cellStyle name="Millares 2 2" xfId="342"/>
    <cellStyle name="Millares 2 3" xfId="797"/>
    <cellStyle name="Millares 2 4" xfId="798"/>
    <cellStyle name="Millares 2 5" xfId="799"/>
    <cellStyle name="Millares 2 6" xfId="800"/>
    <cellStyle name="Millares 2 7" xfId="929"/>
    <cellStyle name="Millares 2 8" xfId="955"/>
    <cellStyle name="Millares 3" xfId="930"/>
    <cellStyle name="Millares 4" xfId="947"/>
    <cellStyle name="Millares 5" xfId="950"/>
    <cellStyle name="Millares 6" xfId="952"/>
    <cellStyle name="Millares 7" xfId="954"/>
    <cellStyle name="Millares_FORMATO EGRESOS" xfId="35"/>
    <cellStyle name="Millares_POLITICA DE INGRESOS-MENSUAL-FEBRERO" xfId="36"/>
    <cellStyle name="Moneda 2" xfId="37"/>
    <cellStyle name="Moneda 2 2" xfId="343"/>
    <cellStyle name="Moneda 2 3" xfId="931"/>
    <cellStyle name="Moneda 3" xfId="38"/>
    <cellStyle name="Neutral" xfId="39" builtinId="28" customBuiltin="1"/>
    <cellStyle name="Neutral 10" xfId="801"/>
    <cellStyle name="Neutral 10 2" xfId="802"/>
    <cellStyle name="Neutral 11" xfId="803"/>
    <cellStyle name="Neutral 11 2" xfId="804"/>
    <cellStyle name="Neutral 12" xfId="805"/>
    <cellStyle name="Neutral 12 2" xfId="806"/>
    <cellStyle name="Neutral 13" xfId="932"/>
    <cellStyle name="Neutral 2" xfId="82"/>
    <cellStyle name="Neutral 2 2" xfId="808"/>
    <cellStyle name="Neutral 2 3" xfId="809"/>
    <cellStyle name="Neutral 2 4" xfId="810"/>
    <cellStyle name="Neutral 2 5" xfId="811"/>
    <cellStyle name="Neutral 2 6" xfId="812"/>
    <cellStyle name="Neutral 2 7" xfId="813"/>
    <cellStyle name="Neutral 2 8" xfId="807"/>
    <cellStyle name="Neutral 3" xfId="116"/>
    <cellStyle name="Neutral 4" xfId="281"/>
    <cellStyle name="Neutral 5" xfId="282"/>
    <cellStyle name="Neutral 6" xfId="283"/>
    <cellStyle name="Neutral 7" xfId="284"/>
    <cellStyle name="Neutral 8" xfId="285"/>
    <cellStyle name="Neutral 9" xfId="814"/>
    <cellStyle name="Neutral 9 2" xfId="815"/>
    <cellStyle name="Normal" xfId="0" builtinId="0"/>
    <cellStyle name="Normal 10" xfId="951"/>
    <cellStyle name="Normal 11" xfId="953"/>
    <cellStyle name="Normal 12" xfId="958"/>
    <cellStyle name="Normal 2" xfId="40"/>
    <cellStyle name="Normal 2 2" xfId="286"/>
    <cellStyle name="Normal 2 3" xfId="287"/>
    <cellStyle name="Normal 2 4" xfId="389"/>
    <cellStyle name="Normal 2 5" xfId="896"/>
    <cellStyle name="Normal 2 6" xfId="933"/>
    <cellStyle name="Normal 2 7" xfId="956"/>
    <cellStyle name="Normal 3" xfId="121"/>
    <cellStyle name="Normal 3 2" xfId="390"/>
    <cellStyle name="Normal 4" xfId="122"/>
    <cellStyle name="Normal 4 2" xfId="391"/>
    <cellStyle name="Normal 4 3" xfId="897"/>
    <cellStyle name="Normal 5" xfId="934"/>
    <cellStyle name="Normal 6" xfId="935"/>
    <cellStyle name="Normal 7" xfId="946"/>
    <cellStyle name="Normal 8" xfId="948"/>
    <cellStyle name="Normal 9" xfId="949"/>
    <cellStyle name="Normal 9 2" xfId="957"/>
    <cellStyle name="Notas" xfId="41" builtinId="10" customBuiltin="1"/>
    <cellStyle name="Notas 10" xfId="816"/>
    <cellStyle name="Notas 10 2" xfId="817"/>
    <cellStyle name="Notas 11" xfId="818"/>
    <cellStyle name="Notas 11 2" xfId="819"/>
    <cellStyle name="Notas 12" xfId="820"/>
    <cellStyle name="Notas 12 2" xfId="821"/>
    <cellStyle name="Notas 13" xfId="822"/>
    <cellStyle name="Notas 14" xfId="936"/>
    <cellStyle name="Notas 2" xfId="91"/>
    <cellStyle name="Notas 2 2" xfId="823"/>
    <cellStyle name="Notas 2 3" xfId="824"/>
    <cellStyle name="Notas 2 4" xfId="825"/>
    <cellStyle name="Notas 2 5" xfId="826"/>
    <cellStyle name="Notas 2 6" xfId="827"/>
    <cellStyle name="Notas 2 7" xfId="828"/>
    <cellStyle name="Notas 3" xfId="288"/>
    <cellStyle name="Notas 3 2" xfId="829"/>
    <cellStyle name="Notas 3 3" xfId="830"/>
    <cellStyle name="Notas 3 4" xfId="831"/>
    <cellStyle name="Notas 3 5" xfId="832"/>
    <cellStyle name="Notas 3 6" xfId="833"/>
    <cellStyle name="Notas 4" xfId="289"/>
    <cellStyle name="Notas 5" xfId="290"/>
    <cellStyle name="Notas 6" xfId="291"/>
    <cellStyle name="Notas 7" xfId="292"/>
    <cellStyle name="Notas 8" xfId="293"/>
    <cellStyle name="Notas 9" xfId="834"/>
    <cellStyle name="Notas 9 2" xfId="835"/>
    <cellStyle name="Porcentaje" xfId="945" builtinId="5"/>
    <cellStyle name="Salida" xfId="42" builtinId="21" customBuiltin="1"/>
    <cellStyle name="Salida 10" xfId="836"/>
    <cellStyle name="Salida 10 2" xfId="837"/>
    <cellStyle name="Salida 11" xfId="838"/>
    <cellStyle name="Salida 11 2" xfId="839"/>
    <cellStyle name="Salida 12" xfId="840"/>
    <cellStyle name="Salida 12 2" xfId="841"/>
    <cellStyle name="Salida 13" xfId="937"/>
    <cellStyle name="Salida 2" xfId="84"/>
    <cellStyle name="Salida 2 2" xfId="843"/>
    <cellStyle name="Salida 2 3" xfId="844"/>
    <cellStyle name="Salida 2 4" xfId="845"/>
    <cellStyle name="Salida 2 5" xfId="846"/>
    <cellStyle name="Salida 2 6" xfId="847"/>
    <cellStyle name="Salida 2 7" xfId="848"/>
    <cellStyle name="Salida 2 8" xfId="842"/>
    <cellStyle name="Salida 3" xfId="117"/>
    <cellStyle name="Salida 4" xfId="294"/>
    <cellStyle name="Salida 5" xfId="295"/>
    <cellStyle name="Salida 6" xfId="296"/>
    <cellStyle name="Salida 7" xfId="297"/>
    <cellStyle name="Salida 8" xfId="298"/>
    <cellStyle name="Salida 9" xfId="849"/>
    <cellStyle name="Salida 9 2" xfId="850"/>
    <cellStyle name="Texto de advertencia" xfId="43" builtinId="11" customBuiltin="1"/>
    <cellStyle name="Texto de advertencia 10" xfId="851"/>
    <cellStyle name="Texto de advertencia 10 2" xfId="852"/>
    <cellStyle name="Texto de advertencia 11" xfId="853"/>
    <cellStyle name="Texto de advertencia 11 2" xfId="854"/>
    <cellStyle name="Texto de advertencia 12" xfId="855"/>
    <cellStyle name="Texto de advertencia 12 2" xfId="856"/>
    <cellStyle name="Texto de advertencia 13" xfId="938"/>
    <cellStyle name="Texto de advertencia 2" xfId="85"/>
    <cellStyle name="Texto de advertencia 2 2" xfId="858"/>
    <cellStyle name="Texto de advertencia 2 3" xfId="859"/>
    <cellStyle name="Texto de advertencia 2 4" xfId="860"/>
    <cellStyle name="Texto de advertencia 2 5" xfId="861"/>
    <cellStyle name="Texto de advertencia 2 6" xfId="862"/>
    <cellStyle name="Texto de advertencia 2 7" xfId="863"/>
    <cellStyle name="Texto de advertencia 2 8" xfId="857"/>
    <cellStyle name="Texto de advertencia 3" xfId="118"/>
    <cellStyle name="Texto de advertencia 4" xfId="299"/>
    <cellStyle name="Texto de advertencia 5" xfId="300"/>
    <cellStyle name="Texto de advertencia 6" xfId="301"/>
    <cellStyle name="Texto de advertencia 7" xfId="302"/>
    <cellStyle name="Texto de advertencia 8" xfId="303"/>
    <cellStyle name="Texto de advertencia 9" xfId="864"/>
    <cellStyle name="Texto de advertencia 9 2" xfId="865"/>
    <cellStyle name="Texto explicativo" xfId="44" builtinId="53" customBuiltin="1"/>
    <cellStyle name="Texto explicativo 10" xfId="866"/>
    <cellStyle name="Texto explicativo 10 2" xfId="867"/>
    <cellStyle name="Texto explicativo 11" xfId="868"/>
    <cellStyle name="Texto explicativo 11 2" xfId="869"/>
    <cellStyle name="Texto explicativo 12" xfId="870"/>
    <cellStyle name="Texto explicativo 12 2" xfId="871"/>
    <cellStyle name="Texto explicativo 13" xfId="939"/>
    <cellStyle name="Texto explicativo 2" xfId="86"/>
    <cellStyle name="Texto explicativo 2 2" xfId="873"/>
    <cellStyle name="Texto explicativo 2 3" xfId="874"/>
    <cellStyle name="Texto explicativo 2 4" xfId="875"/>
    <cellStyle name="Texto explicativo 2 5" xfId="876"/>
    <cellStyle name="Texto explicativo 2 6" xfId="877"/>
    <cellStyle name="Texto explicativo 2 7" xfId="878"/>
    <cellStyle name="Texto explicativo 2 8" xfId="872"/>
    <cellStyle name="Texto explicativo 3" xfId="119"/>
    <cellStyle name="Texto explicativo 4" xfId="304"/>
    <cellStyle name="Texto explicativo 5" xfId="305"/>
    <cellStyle name="Texto explicativo 6" xfId="306"/>
    <cellStyle name="Texto explicativo 7" xfId="307"/>
    <cellStyle name="Texto explicativo 8" xfId="308"/>
    <cellStyle name="Texto explicativo 9" xfId="879"/>
    <cellStyle name="Texto explicativo 9 2" xfId="880"/>
    <cellStyle name="Título" xfId="45" builtinId="15" customBuiltin="1"/>
    <cellStyle name="Título 1 2" xfId="309"/>
    <cellStyle name="Título 1 3" xfId="310"/>
    <cellStyle name="Título 1 4" xfId="311"/>
    <cellStyle name="Título 1 5" xfId="312"/>
    <cellStyle name="Título 1 6" xfId="313"/>
    <cellStyle name="Título 1 7" xfId="314"/>
    <cellStyle name="Título 1 8" xfId="315"/>
    <cellStyle name="Título 1 9" xfId="940"/>
    <cellStyle name="Título 10" xfId="316"/>
    <cellStyle name="Título 11" xfId="941"/>
    <cellStyle name="Título 2" xfId="47" builtinId="17" customBuiltin="1"/>
    <cellStyle name="Título 2 2" xfId="317"/>
    <cellStyle name="Título 2 3" xfId="318"/>
    <cellStyle name="Título 2 4" xfId="319"/>
    <cellStyle name="Título 2 5" xfId="320"/>
    <cellStyle name="Título 2 6" xfId="321"/>
    <cellStyle name="Título 2 7" xfId="322"/>
    <cellStyle name="Título 2 8" xfId="323"/>
    <cellStyle name="Título 2 9" xfId="942"/>
    <cellStyle name="Título 3" xfId="48" builtinId="18" customBuiltin="1"/>
    <cellStyle name="Título 3 2" xfId="324"/>
    <cellStyle name="Título 3 3" xfId="325"/>
    <cellStyle name="Título 3 4" xfId="326"/>
    <cellStyle name="Título 3 5" xfId="327"/>
    <cellStyle name="Título 3 6" xfId="328"/>
    <cellStyle name="Título 3 7" xfId="329"/>
    <cellStyle name="Título 3 8" xfId="330"/>
    <cellStyle name="Título 3 9" xfId="943"/>
    <cellStyle name="Título 4" xfId="331"/>
    <cellStyle name="Título 5" xfId="332"/>
    <cellStyle name="Título 6" xfId="333"/>
    <cellStyle name="Título 7" xfId="334"/>
    <cellStyle name="Título 8" xfId="335"/>
    <cellStyle name="Título 9" xfId="336"/>
    <cellStyle name="Total" xfId="49" builtinId="25" customBuiltin="1"/>
    <cellStyle name="Total 10" xfId="881"/>
    <cellStyle name="Total 10 2" xfId="882"/>
    <cellStyle name="Total 11" xfId="883"/>
    <cellStyle name="Total 11 2" xfId="884"/>
    <cellStyle name="Total 12" xfId="885"/>
    <cellStyle name="Total 12 2" xfId="886"/>
    <cellStyle name="Total 13" xfId="944"/>
    <cellStyle name="Total 2" xfId="90"/>
    <cellStyle name="Total 2 2" xfId="888"/>
    <cellStyle name="Total 2 3" xfId="889"/>
    <cellStyle name="Total 2 4" xfId="890"/>
    <cellStyle name="Total 2 5" xfId="891"/>
    <cellStyle name="Total 2 6" xfId="892"/>
    <cellStyle name="Total 2 7" xfId="893"/>
    <cellStyle name="Total 2 8" xfId="887"/>
    <cellStyle name="Total 3" xfId="120"/>
    <cellStyle name="Total 4" xfId="337"/>
    <cellStyle name="Total 5" xfId="338"/>
    <cellStyle name="Total 6" xfId="339"/>
    <cellStyle name="Total 7" xfId="340"/>
    <cellStyle name="Total 8" xfId="341"/>
    <cellStyle name="Total 9" xfId="894"/>
    <cellStyle name="Total 9 2" xfId="895"/>
  </cellStyles>
  <dxfs count="0"/>
  <tableStyles count="0" defaultTableStyle="TableStyleMedium9" defaultPivotStyle="PivotStyleLight16"/>
  <colors>
    <mruColors>
      <color rgb="FF007A37"/>
      <color rgb="FF00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</c:spPr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14170643617017792"/>
          <c:y val="3.7382200814064029E-2"/>
          <c:w val="0.82933795689668155"/>
          <c:h val="0.77999371974665699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gradFill>
                <a:gsLst>
                  <a:gs pos="0">
                    <a:srgbClr val="8488C4"/>
                  </a:gs>
                  <a:gs pos="53000">
                    <a:srgbClr val="D4DEFF"/>
                  </a:gs>
                  <a:gs pos="83000">
                    <a:srgbClr val="D4DEFF"/>
                  </a:gs>
                  <a:gs pos="100000">
                    <a:srgbClr val="96AB94"/>
                  </a:gs>
                </a:gsLst>
                <a:lin ang="5400000" scaled="0"/>
              </a:gradFill>
            </c:spPr>
          </c:dPt>
          <c:cat>
            <c:strRef>
              <c:f>'GRAF-SIT FRA'!$I$10:$J$10</c:f>
              <c:strCache>
                <c:ptCount val="2"/>
                <c:pt idx="0">
                  <c:v>ACTIVO</c:v>
                </c:pt>
                <c:pt idx="1">
                  <c:v>PASIVO + PATRIMONIO</c:v>
                </c:pt>
              </c:strCache>
            </c:strRef>
          </c:cat>
          <c:val>
            <c:numRef>
              <c:f>'GRAF-SIT FRA'!$I$11:$J$11</c:f>
              <c:numCache>
                <c:formatCode>_-* #,##0_-;\-* #,##0_-;_-* "-"??_-;_-@_-</c:formatCode>
                <c:ptCount val="2"/>
                <c:pt idx="0">
                  <c:v>618000885</c:v>
                </c:pt>
                <c:pt idx="1">
                  <c:v>62316149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'GRAF-SIT FRA'!$I$10:$J$10</c:f>
              <c:strCache>
                <c:ptCount val="2"/>
                <c:pt idx="0">
                  <c:v>ACTIVO</c:v>
                </c:pt>
                <c:pt idx="1">
                  <c:v>PASIVO + PATRIMONIO</c:v>
                </c:pt>
              </c:strCache>
            </c:strRef>
          </c:cat>
          <c:val>
            <c:numRef>
              <c:f>'GRAF-SIT FRA'!$I$12:$J$12</c:f>
              <c:numCache>
                <c:formatCode>_-* #,##0_-;\-* #,##0_-;_-* "-"??_-;_-@_-</c:formatCode>
                <c:ptCount val="2"/>
                <c:pt idx="1">
                  <c:v>555684736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cylinder"/>
        <c:axId val="326503976"/>
        <c:axId val="326498096"/>
        <c:axId val="0"/>
      </c:bar3DChart>
      <c:catAx>
        <c:axId val="32650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MX">
                <a:solidFill>
                  <a:sysClr val="windowText" lastClr="000000"/>
                </a:solidFill>
              </a:defRPr>
            </a:pPr>
            <a:endParaRPr lang="es-MX"/>
          </a:p>
        </c:txPr>
        <c:crossAx val="326498096"/>
        <c:crosses val="autoZero"/>
        <c:auto val="1"/>
        <c:lblAlgn val="ctr"/>
        <c:lblOffset val="100"/>
        <c:noMultiLvlLbl val="0"/>
      </c:catAx>
      <c:valAx>
        <c:axId val="326498096"/>
        <c:scaling>
          <c:orientation val="minMax"/>
        </c:scaling>
        <c:delete val="0"/>
        <c:axPos val="l"/>
        <c:majorGridlines/>
        <c:numFmt formatCode="_-* #,##0_-;\-* #,##0_-;_-* &quot;-&quot;??_-;_-@_-" sourceLinked="1"/>
        <c:majorTickMark val="none"/>
        <c:minorTickMark val="none"/>
        <c:tickLblPos val="nextTo"/>
        <c:txPr>
          <a:bodyPr/>
          <a:lstStyle/>
          <a:p>
            <a:pPr>
              <a:defRPr lang="es-MX">
                <a:solidFill>
                  <a:sysClr val="windowText" lastClr="000000"/>
                </a:solidFill>
              </a:defRPr>
            </a:pPr>
            <a:endParaRPr lang="es-MX"/>
          </a:p>
        </c:txPr>
        <c:crossAx val="326503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25400"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view3D>
      <c:rotX val="15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176740723654548E-2"/>
          <c:y val="0.12828824501512584"/>
          <c:w val="0.65460897281315966"/>
          <c:h val="0.85387405005746864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7.9601638580224204E-2"/>
                  <c:y val="-5.09261730884675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5869964852524276"/>
                  <c:y val="-2.827651724881540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8761533313008839E-2"/>
                  <c:y val="-7.54203652004639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6560172969033075E-2"/>
                  <c:y val="-6.37530671360380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4289218520582122E-2"/>
                  <c:y val="-3.9083093887875411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500"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0149525701810638E-2"/>
                  <c:y val="1.27998507958525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80499984230943E-2"/>
                  <c:y val="6.21990126881808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'GRAF-SIT FRA'!$I$48:$I$55</c:f>
              <c:strCache>
                <c:ptCount val="7"/>
                <c:pt idx="0">
                  <c:v>BANCOS</c:v>
                </c:pt>
                <c:pt idx="1">
                  <c:v>CUENTAS POR COBRAR</c:v>
                </c:pt>
                <c:pt idx="2">
                  <c:v>DEUDORES DIVERSOS</c:v>
                </c:pt>
                <c:pt idx="3">
                  <c:v>ALMACEN GENERAL</c:v>
                </c:pt>
                <c:pt idx="4">
                  <c:v>INVERSIONES</c:v>
                </c:pt>
                <c:pt idx="5">
                  <c:v>BIENES MUEBLES</c:v>
                </c:pt>
                <c:pt idx="6">
                  <c:v>BIENES INMUEBLES</c:v>
                </c:pt>
              </c:strCache>
            </c:strRef>
          </c:cat>
          <c:val>
            <c:numRef>
              <c:f>'GRAF-SIT FRA'!$J$48:$J$55</c:f>
              <c:numCache>
                <c:formatCode>#,##0</c:formatCode>
                <c:ptCount val="7"/>
                <c:pt idx="0">
                  <c:v>33947259</c:v>
                </c:pt>
                <c:pt idx="1">
                  <c:v>1704833</c:v>
                </c:pt>
                <c:pt idx="2">
                  <c:v>1292380</c:v>
                </c:pt>
                <c:pt idx="3">
                  <c:v>2267478</c:v>
                </c:pt>
                <c:pt idx="4">
                  <c:v>0</c:v>
                </c:pt>
                <c:pt idx="5">
                  <c:v>134629088</c:v>
                </c:pt>
                <c:pt idx="6">
                  <c:v>444159847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678241784357517"/>
          <c:y val="0.53692027058709169"/>
          <c:w val="0.15994492033369331"/>
          <c:h val="0.31858027550477758"/>
        </c:manualLayout>
      </c:layout>
      <c:overlay val="0"/>
      <c:txPr>
        <a:bodyPr/>
        <a:lstStyle/>
        <a:p>
          <a:pPr>
            <a:defRPr sz="800">
              <a:solidFill>
                <a:sysClr val="windowText" lastClr="000000"/>
              </a:solidFill>
            </a:defRPr>
          </a:pPr>
          <a:endParaRPr lang="es-MX"/>
        </a:p>
      </c:txPr>
    </c:legend>
    <c:plotVisOnly val="1"/>
    <c:dispBlanksAs val="zero"/>
    <c:showDLblsOverMax val="0"/>
  </c:chart>
  <c:spPr>
    <a:noFill/>
    <a:ln w="25400">
      <a:noFill/>
    </a:ln>
  </c:spPr>
  <c:printSettings>
    <c:headerFooter/>
    <c:pageMargins b="0.7500000000000121" l="0.70000000000000062" r="0.70000000000000062" t="0.7500000000000121" header="0.30000000000000032" footer="0.30000000000000032"/>
    <c:pageSetup orientation="portrait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view3D>
      <c:rotX val="15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6844561096529672E-3"/>
          <c:y val="2.0362986541575919E-2"/>
          <c:w val="0.70619784863431134"/>
          <c:h val="0.97963701851244611"/>
        </c:manualLayout>
      </c:layout>
      <c:pie3DChart>
        <c:varyColors val="1"/>
        <c:ser>
          <c:idx val="0"/>
          <c:order val="0"/>
          <c:explosion val="24"/>
          <c:dLbls>
            <c:dLbl>
              <c:idx val="0"/>
              <c:layout>
                <c:manualLayout>
                  <c:x val="-7.4755627691385371E-2"/>
                  <c:y val="-5.68070992733625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121422148136775E-2"/>
                  <c:y val="-5.3254677570448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MX" sz="600" baseline="0">
                      <a:solidFill>
                        <a:schemeClr val="tx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7994428969359333E-2"/>
                  <c:y val="-9.744790743600779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621798667924159E-2"/>
                  <c:y val="0.10384459579208535"/>
                </c:manualLayout>
              </c:layout>
              <c:numFmt formatCode="0.0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MX" sz="600" baseline="0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60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'GRAF-SIT FRA'!$I$87:$I$90</c:f>
              <c:strCache>
                <c:ptCount val="4"/>
                <c:pt idx="0">
                  <c:v> ACREEDORES DIVERSOS </c:v>
                </c:pt>
                <c:pt idx="1">
                  <c:v> FONDOS AJENOS </c:v>
                </c:pt>
                <c:pt idx="2">
                  <c:v> IMPUESTOS POR PAGAR </c:v>
                </c:pt>
                <c:pt idx="3">
                  <c:v> PRESTACIONES DIVERSAS </c:v>
                </c:pt>
              </c:strCache>
            </c:strRef>
          </c:cat>
          <c:val>
            <c:numRef>
              <c:f>'GRAF-SIT FRA'!$J$87:$J$90</c:f>
              <c:numCache>
                <c:formatCode>_-* #,##0_-;\-* #,##0_-;_-* "-"??_-;_-@_-</c:formatCode>
                <c:ptCount val="4"/>
                <c:pt idx="0">
                  <c:v>5177104</c:v>
                </c:pt>
                <c:pt idx="1">
                  <c:v>0</c:v>
                </c:pt>
                <c:pt idx="2">
                  <c:v>10015693</c:v>
                </c:pt>
                <c:pt idx="3">
                  <c:v>47123352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7684456111014"/>
          <c:y val="0.72379193735536496"/>
          <c:w val="0.21718606007582394"/>
          <c:h val="0.25140013526677962"/>
        </c:manualLayout>
      </c:layout>
      <c:overlay val="0"/>
      <c:txPr>
        <a:bodyPr/>
        <a:lstStyle/>
        <a:p>
          <a:pPr>
            <a:defRPr lang="es-MX" sz="800">
              <a:solidFill>
                <a:sysClr val="windowText" lastClr="000000"/>
              </a:solidFill>
            </a:defRPr>
          </a:pPr>
          <a:endParaRPr lang="es-MX"/>
        </a:p>
      </c:txPr>
    </c:legend>
    <c:plotVisOnly val="1"/>
    <c:dispBlanksAs val="zero"/>
    <c:showDLblsOverMax val="0"/>
  </c:chart>
  <c:spPr>
    <a:noFill/>
    <a:ln w="25400">
      <a:noFill/>
    </a:ln>
  </c:spPr>
  <c:printSettings>
    <c:headerFooter/>
    <c:pageMargins b="0.75000000000001232" l="0.70000000000000062" r="0.70000000000000062" t="0.75000000000001232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view3D>
      <c:rotX val="15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6482250742279933E-3"/>
          <c:y val="0"/>
          <c:w val="0.76417312208444665"/>
          <c:h val="1"/>
        </c:manualLayout>
      </c:layout>
      <c:pie3DChart>
        <c:varyColors val="1"/>
        <c:ser>
          <c:idx val="0"/>
          <c:order val="0"/>
          <c:explosion val="25"/>
          <c:dPt>
            <c:idx val="2"/>
            <c:bubble3D val="0"/>
            <c:explosion val="24"/>
          </c:dPt>
          <c:dLbls>
            <c:dLbl>
              <c:idx val="0"/>
              <c:layout>
                <c:manualLayout>
                  <c:x val="1.4898881060920017E-2"/>
                  <c:y val="-0.1044835572024085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0350877192982457E-2"/>
                  <c:y val="9.93508738236987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5542201961596908E-2"/>
                  <c:y val="-8.42216925179905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60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'GRAF-SIT FRA'!$I$124:$I$132</c:f>
              <c:strCache>
                <c:ptCount val="3"/>
                <c:pt idx="0">
                  <c:v> BIENES MUEBLES E INMUEBLES </c:v>
                </c:pt>
                <c:pt idx="1">
                  <c:v> RESULTADO DE EJ ANTERIORES </c:v>
                </c:pt>
                <c:pt idx="2">
                  <c:v> RESULTADO DEL EJERCICIO </c:v>
                </c:pt>
              </c:strCache>
            </c:strRef>
          </c:cat>
          <c:val>
            <c:numRef>
              <c:f>'GRAF-SIT FRA'!$J$124:$J$132</c:f>
              <c:numCache>
                <c:formatCode>_-* #,##0_-;\-* #,##0_-;_-* "-"??_-;_-@_-</c:formatCode>
                <c:ptCount val="9"/>
                <c:pt idx="0">
                  <c:v>577035241</c:v>
                </c:pt>
                <c:pt idx="1">
                  <c:v>-299784591</c:v>
                </c:pt>
                <c:pt idx="2">
                  <c:v>278434086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4065499686555714"/>
          <c:y val="0.66385752109213925"/>
          <c:w val="0.24854885265326301"/>
          <c:h val="0.23537736119965311"/>
        </c:manualLayout>
      </c:layout>
      <c:overlay val="0"/>
      <c:txPr>
        <a:bodyPr/>
        <a:lstStyle/>
        <a:p>
          <a:pPr>
            <a:defRPr lang="es-MX" sz="800">
              <a:solidFill>
                <a:sysClr val="windowText" lastClr="000000"/>
              </a:solidFill>
            </a:defRPr>
          </a:pPr>
          <a:endParaRPr lang="es-MX"/>
        </a:p>
      </c:txPr>
    </c:legend>
    <c:plotVisOnly val="1"/>
    <c:dispBlanksAs val="zero"/>
    <c:showDLblsOverMax val="0"/>
  </c:chart>
  <c:spPr>
    <a:noFill/>
    <a:ln w="25400"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7182681931295"/>
          <c:y val="1.1551914219677811E-2"/>
          <c:w val="0.73106883040398973"/>
          <c:h val="0.84885314708795656"/>
        </c:manualLayout>
      </c:layout>
      <c:ofPieChart>
        <c:ofPieType val="bar"/>
        <c:varyColors val="1"/>
        <c:ser>
          <c:idx val="0"/>
          <c:order val="0"/>
          <c:spPr>
            <a:ln>
              <a:noFill/>
            </a:ln>
          </c:spPr>
          <c:dPt>
            <c:idx val="5"/>
            <c:bubble3D val="0"/>
            <c:explosion val="18"/>
            <c:spPr/>
          </c:dPt>
          <c:dLbls>
            <c:dLbl>
              <c:idx val="0"/>
              <c:layout>
                <c:manualLayout>
                  <c:x val="-1.1240812797233031E-4"/>
                  <c:y val="2.99783422594563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TRANSFERENCIAS
0.11%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6946597628603819E-2"/>
                  <c:y val="-7.131183228962051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SERVICIOS PERSONALES
96.04%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5.40156361051883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MATERIALES Y SUMINISTROS
2.00%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56420233463035E-2"/>
                  <c:y val="1.42146410803127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SERVICIOS GENERALES
1.96%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5610431964486929"/>
                  <c:y val="-2.50473168465882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GASTO CORRIENTE
99.89%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'GRAF-ING Y EGR'!$I$50:$I$54</c:f>
              <c:strCache>
                <c:ptCount val="5"/>
                <c:pt idx="0">
                  <c:v>TRANSFERENCIAS</c:v>
                </c:pt>
                <c:pt idx="1">
                  <c:v>INVERSION PUBLICA</c:v>
                </c:pt>
                <c:pt idx="2">
                  <c:v>SERVICIOS PERSONALES</c:v>
                </c:pt>
                <c:pt idx="3">
                  <c:v>MATERIALES Y SUMINISTROS</c:v>
                </c:pt>
                <c:pt idx="4">
                  <c:v>SERVICIOS GENERALES</c:v>
                </c:pt>
              </c:strCache>
            </c:strRef>
          </c:cat>
          <c:val>
            <c:numRef>
              <c:f>'GRAF-ING Y EGR'!$J$50:$J$54</c:f>
              <c:numCache>
                <c:formatCode>_-* #,##0_-;\-* #,##0_-;_-* "-"??_-;_-@_-</c:formatCode>
                <c:ptCount val="5"/>
                <c:pt idx="0">
                  <c:v>232382610</c:v>
                </c:pt>
                <c:pt idx="1">
                  <c:v>0</c:v>
                </c:pt>
                <c:pt idx="2">
                  <c:v>5043915356</c:v>
                </c:pt>
                <c:pt idx="3">
                  <c:v>77136402</c:v>
                </c:pt>
                <c:pt idx="4">
                  <c:v>162761870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60"/>
        <c:splitType val="pos"/>
        <c:splitPos val="3"/>
        <c:secondPieSize val="86"/>
        <c:serLines>
          <c:spPr>
            <a:ln>
              <a:solidFill>
                <a:srgbClr val="4F81BD"/>
              </a:solidFill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25400">
      <a:noFill/>
    </a:ln>
  </c:spPr>
  <c:printSettings>
    <c:headerFooter/>
    <c:pageMargins b="0.74803149606299801" l="0.70866141732284138" r="0.70866141732284138" t="0.74803149606299801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711008821334992E-2"/>
          <c:y val="8.5994771652266794E-2"/>
          <c:w val="0.76912296468777974"/>
          <c:h val="0.88919904779344461"/>
        </c:manualLayout>
      </c:layout>
      <c:pie3DChart>
        <c:varyColors val="1"/>
        <c:ser>
          <c:idx val="0"/>
          <c:order val="0"/>
          <c:explosion val="25"/>
          <c:dPt>
            <c:idx val="1"/>
            <c:bubble3D val="0"/>
            <c:explosion val="35"/>
          </c:dPt>
          <c:dLbls>
            <c:dLbl>
              <c:idx val="0"/>
              <c:layout>
                <c:manualLayout>
                  <c:x val="3.4602080838362102E-2"/>
                  <c:y val="-6.201551901740202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6711810575676544"/>
                  <c:y val="-5.54118428643942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920415486529097"/>
                  <c:y val="-0.139243640174242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2387961799847994E-2"/>
                  <c:y val="1.802112385304876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4779857883532392E-2"/>
                  <c:y val="-4.45068777407990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8916310508175163E-2"/>
                  <c:y val="-5.89147430665307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7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'GRAF-ING Y EGR'!$I$10:$I$21</c:f>
              <c:strCache>
                <c:ptCount val="6"/>
                <c:pt idx="0">
                  <c:v>PARTICIPACIONES  </c:v>
                </c:pt>
                <c:pt idx="1">
                  <c:v>CONVENIOS</c:v>
                </c:pt>
                <c:pt idx="2">
                  <c:v>RAMO XXXIII</c:v>
                </c:pt>
                <c:pt idx="3">
                  <c:v>DERECHOS</c:v>
                </c:pt>
                <c:pt idx="4">
                  <c:v>PRODUCTOS </c:v>
                </c:pt>
                <c:pt idx="5">
                  <c:v>APROVECHAMIENTOS</c:v>
                </c:pt>
              </c:strCache>
            </c:strRef>
          </c:cat>
          <c:val>
            <c:numRef>
              <c:f>'GRAF-ING Y EGR'!$J$10:$J$21</c:f>
              <c:numCache>
                <c:formatCode>#,##0</c:formatCode>
                <c:ptCount val="12"/>
                <c:pt idx="0">
                  <c:v>478997932</c:v>
                </c:pt>
                <c:pt idx="1">
                  <c:v>167540578</c:v>
                </c:pt>
                <c:pt idx="2">
                  <c:v>5136347028</c:v>
                </c:pt>
                <c:pt idx="3">
                  <c:v>0</c:v>
                </c:pt>
                <c:pt idx="4">
                  <c:v>127022</c:v>
                </c:pt>
                <c:pt idx="5">
                  <c:v>11617764</c:v>
                </c:pt>
                <c:pt idx="7">
                  <c:v>5794630324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06365650288857"/>
          <c:y val="0.51627965602251258"/>
          <c:w val="0.18287960907051637"/>
          <c:h val="0.48372044192150432"/>
        </c:manualLayout>
      </c:layout>
      <c:overlay val="1"/>
      <c:txPr>
        <a:bodyPr/>
        <a:lstStyle/>
        <a:p>
          <a:pPr>
            <a:defRPr lang="es-MX">
              <a:solidFill>
                <a:sysClr val="windowText" lastClr="000000"/>
              </a:solidFill>
            </a:defRPr>
          </a:pPr>
          <a:endParaRPr lang="es-MX"/>
        </a:p>
      </c:txPr>
    </c:legend>
    <c:plotVisOnly val="1"/>
    <c:dispBlanksAs val="zero"/>
    <c:showDLblsOverMax val="0"/>
  </c:chart>
  <c:spPr>
    <a:noFill/>
    <a:ln w="25400">
      <a:noFill/>
    </a:ln>
  </c:spPr>
  <c:printSettings>
    <c:headerFooter/>
    <c:pageMargins b="0.75000000000000988" l="0.70000000000000062" r="0.70000000000000062" t="0.75000000000000988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711075026128036E-2"/>
          <c:y val="9.2196301043764875E-2"/>
          <c:w val="0.76220550938690423"/>
          <c:h val="0.88299746883903252"/>
        </c:manualLayout>
      </c:layout>
      <c:pie3DChart>
        <c:varyColors val="1"/>
        <c:ser>
          <c:idx val="0"/>
          <c:order val="0"/>
          <c:explosion val="25"/>
          <c:dPt>
            <c:idx val="1"/>
            <c:bubble3D val="0"/>
            <c:explosion val="35"/>
          </c:dPt>
          <c:dLbls>
            <c:dLbl>
              <c:idx val="0"/>
              <c:layout>
                <c:manualLayout>
                  <c:x val="-8.6318004023816092E-3"/>
                  <c:y val="-4.03103216749069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5216492880024236E-2"/>
                  <c:y val="3.14098760910700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MX" sz="700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45341122242987E-2"/>
                  <c:y val="4.370188610144662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0778897773965021"/>
                  <c:y val="7.642312152841362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MX" sz="70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033225418807085E-2"/>
                  <c:y val="-1.2403589086247941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APROVECHAMIENTOS
0.20%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399048854301772E-2"/>
                  <c:y val="-8.3720930232558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700" baseline="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'GRAF-ING Y EGR'!$I$10:$I$15</c:f>
              <c:strCache>
                <c:ptCount val="6"/>
                <c:pt idx="0">
                  <c:v>PARTICIPACIONES  </c:v>
                </c:pt>
                <c:pt idx="1">
                  <c:v>CONVENIOS</c:v>
                </c:pt>
                <c:pt idx="2">
                  <c:v>RAMO XXXIII</c:v>
                </c:pt>
                <c:pt idx="3">
                  <c:v>DERECHOS</c:v>
                </c:pt>
                <c:pt idx="4">
                  <c:v>PRODUCTOS </c:v>
                </c:pt>
                <c:pt idx="5">
                  <c:v>APROVECHAMIENTOS</c:v>
                </c:pt>
              </c:strCache>
            </c:strRef>
          </c:cat>
          <c:val>
            <c:numRef>
              <c:f>'GRAF-ING Y EGR'!$J$10:$J$15</c:f>
              <c:numCache>
                <c:formatCode>#,##0</c:formatCode>
                <c:ptCount val="6"/>
                <c:pt idx="0">
                  <c:v>478997932</c:v>
                </c:pt>
                <c:pt idx="1">
                  <c:v>167540578</c:v>
                </c:pt>
                <c:pt idx="2">
                  <c:v>5136347028</c:v>
                </c:pt>
                <c:pt idx="3">
                  <c:v>0</c:v>
                </c:pt>
                <c:pt idx="4">
                  <c:v>127022</c:v>
                </c:pt>
                <c:pt idx="5">
                  <c:v>11617764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552205779724321"/>
          <c:y val="0.50697723249710835"/>
          <c:w val="0.25032452655480764"/>
          <c:h val="0.49302276750290619"/>
        </c:manualLayout>
      </c:layout>
      <c:overlay val="1"/>
      <c:txPr>
        <a:bodyPr/>
        <a:lstStyle/>
        <a:p>
          <a:pPr>
            <a:defRPr lang="es-MX" sz="1010" baseline="0">
              <a:solidFill>
                <a:sysClr val="windowText" lastClr="000000"/>
              </a:solidFill>
            </a:defRPr>
          </a:pPr>
          <a:endParaRPr lang="es-MX"/>
        </a:p>
      </c:txPr>
    </c:legend>
    <c:plotVisOnly val="1"/>
    <c:dispBlanksAs val="zero"/>
    <c:showDLblsOverMax val="0"/>
  </c:chart>
  <c:spPr>
    <a:noFill/>
    <a:ln w="25400">
      <a:noFill/>
    </a:ln>
  </c:spPr>
  <c:printSettings>
    <c:headerFooter/>
    <c:pageMargins b="0.75000000000000988" l="0.70000000000000062" r="0.70000000000000062" t="0.75000000000000988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jpeg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3</xdr:col>
      <xdr:colOff>9525</xdr:colOff>
      <xdr:row>4</xdr:row>
      <xdr:rowOff>209550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1066800"/>
          <a:ext cx="7334250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243417</xdr:colOff>
      <xdr:row>9</xdr:row>
      <xdr:rowOff>57150</xdr:rowOff>
    </xdr:from>
    <xdr:to>
      <xdr:col>2</xdr:col>
      <xdr:colOff>37042</xdr:colOff>
      <xdr:row>9</xdr:row>
      <xdr:rowOff>63500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43417" y="1943100"/>
          <a:ext cx="6832600" cy="635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5419724</xdr:colOff>
      <xdr:row>0</xdr:row>
      <xdr:rowOff>0</xdr:rowOff>
    </xdr:from>
    <xdr:to>
      <xdr:col>2</xdr:col>
      <xdr:colOff>280458</xdr:colOff>
      <xdr:row>2</xdr:row>
      <xdr:rowOff>238125</xdr:rowOff>
    </xdr:to>
    <xdr:pic>
      <xdr:nvPicPr>
        <xdr:cNvPr id="4" name="3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05474" y="0"/>
          <a:ext cx="1613959" cy="428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924718</xdr:colOff>
      <xdr:row>2</xdr:row>
      <xdr:rowOff>281050</xdr:rowOff>
    </xdr:to>
    <xdr:pic>
      <xdr:nvPicPr>
        <xdr:cNvPr id="5" name="4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10468" cy="4715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6</xdr:col>
      <xdr:colOff>0</xdr:colOff>
      <xdr:row>4</xdr:row>
      <xdr:rowOff>209550</xdr:rowOff>
    </xdr:to>
    <xdr:sp macro="" textlink="">
      <xdr:nvSpPr>
        <xdr:cNvPr id="69633" name="Line 1"/>
        <xdr:cNvSpPr>
          <a:spLocks noChangeShapeType="1"/>
        </xdr:cNvSpPr>
      </xdr:nvSpPr>
      <xdr:spPr bwMode="auto">
        <a:xfrm>
          <a:off x="0" y="1028700"/>
          <a:ext cx="84867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6</xdr:col>
      <xdr:colOff>0</xdr:colOff>
      <xdr:row>9</xdr:row>
      <xdr:rowOff>57150</xdr:rowOff>
    </xdr:to>
    <xdr:sp macro="" textlink="">
      <xdr:nvSpPr>
        <xdr:cNvPr id="69634" name="Line 2"/>
        <xdr:cNvSpPr>
          <a:spLocks noChangeShapeType="1"/>
        </xdr:cNvSpPr>
      </xdr:nvSpPr>
      <xdr:spPr bwMode="auto">
        <a:xfrm flipV="1">
          <a:off x="0" y="1847850"/>
          <a:ext cx="847725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190499</xdr:colOff>
      <xdr:row>0</xdr:row>
      <xdr:rowOff>0</xdr:rowOff>
    </xdr:from>
    <xdr:to>
      <xdr:col>6</xdr:col>
      <xdr:colOff>17852</xdr:colOff>
      <xdr:row>2</xdr:row>
      <xdr:rowOff>161925</xdr:rowOff>
    </xdr:to>
    <xdr:pic>
      <xdr:nvPicPr>
        <xdr:cNvPr id="6" name="5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499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800100</xdr:colOff>
      <xdr:row>2</xdr:row>
      <xdr:rowOff>181894</xdr:rowOff>
    </xdr:to>
    <xdr:pic>
      <xdr:nvPicPr>
        <xdr:cNvPr id="7" name="6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</xdr:row>
      <xdr:rowOff>180975</xdr:rowOff>
    </xdr:from>
    <xdr:to>
      <xdr:col>6</xdr:col>
      <xdr:colOff>1066800</xdr:colOff>
      <xdr:row>3</xdr:row>
      <xdr:rowOff>180975</xdr:rowOff>
    </xdr:to>
    <xdr:sp macro="" textlink="">
      <xdr:nvSpPr>
        <xdr:cNvPr id="2" name="Line 7"/>
        <xdr:cNvSpPr>
          <a:spLocks noChangeShapeType="1"/>
        </xdr:cNvSpPr>
      </xdr:nvSpPr>
      <xdr:spPr bwMode="auto">
        <a:xfrm>
          <a:off x="104775" y="962025"/>
          <a:ext cx="793432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85725</xdr:colOff>
      <xdr:row>8</xdr:row>
      <xdr:rowOff>114300</xdr:rowOff>
    </xdr:from>
    <xdr:to>
      <xdr:col>6</xdr:col>
      <xdr:colOff>1047750</xdr:colOff>
      <xdr:row>8</xdr:row>
      <xdr:rowOff>114300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85725" y="1885950"/>
          <a:ext cx="793432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228600</xdr:colOff>
      <xdr:row>10</xdr:row>
      <xdr:rowOff>114300</xdr:rowOff>
    </xdr:from>
    <xdr:to>
      <xdr:col>5</xdr:col>
      <xdr:colOff>685800</xdr:colOff>
      <xdr:row>36</xdr:row>
      <xdr:rowOff>123825</xdr:rowOff>
    </xdr:to>
    <xdr:graphicFrame macro="">
      <xdr:nvGraphicFramePr>
        <xdr:cNvPr id="6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923925</xdr:colOff>
      <xdr:row>17</xdr:row>
      <xdr:rowOff>28575</xdr:rowOff>
    </xdr:from>
    <xdr:to>
      <xdr:col>6</xdr:col>
      <xdr:colOff>533400</xdr:colOff>
      <xdr:row>24</xdr:row>
      <xdr:rowOff>9525</xdr:rowOff>
    </xdr:to>
    <xdr:sp macro="" textlink="">
      <xdr:nvSpPr>
        <xdr:cNvPr id="7" name="6 CuadroTexto"/>
        <xdr:cNvSpPr txBox="1"/>
      </xdr:nvSpPr>
      <xdr:spPr>
        <a:xfrm>
          <a:off x="6734175" y="3295650"/>
          <a:ext cx="771525" cy="1114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MX" sz="1100"/>
        </a:p>
      </xdr:txBody>
    </xdr:sp>
    <xdr:clientData/>
  </xdr:twoCellAnchor>
  <xdr:twoCellAnchor>
    <xdr:from>
      <xdr:col>5</xdr:col>
      <xdr:colOff>400050</xdr:colOff>
      <xdr:row>29</xdr:row>
      <xdr:rowOff>9526</xdr:rowOff>
    </xdr:from>
    <xdr:to>
      <xdr:col>6</xdr:col>
      <xdr:colOff>182563</xdr:colOff>
      <xdr:row>33</xdr:row>
      <xdr:rowOff>66676</xdr:rowOff>
    </xdr:to>
    <xdr:sp macro="" textlink="">
      <xdr:nvSpPr>
        <xdr:cNvPr id="8" name="7 CuadroTexto"/>
        <xdr:cNvSpPr txBox="1"/>
      </xdr:nvSpPr>
      <xdr:spPr>
        <a:xfrm>
          <a:off x="6194425" y="5145089"/>
          <a:ext cx="941388" cy="6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MX" sz="1000"/>
            <a:t>ACTIVO</a:t>
          </a:r>
        </a:p>
        <a:p>
          <a:endParaRPr lang="es-MX" sz="1000"/>
        </a:p>
        <a:p>
          <a:r>
            <a:rPr lang="es-MX" sz="1000"/>
            <a:t>PASIVO</a:t>
          </a:r>
        </a:p>
        <a:p>
          <a:endParaRPr lang="es-MX" sz="1000"/>
        </a:p>
        <a:p>
          <a:r>
            <a:rPr lang="es-MX" sz="1000"/>
            <a:t>PATRIMONIO</a:t>
          </a:r>
        </a:p>
      </xdr:txBody>
    </xdr:sp>
    <xdr:clientData/>
  </xdr:twoCellAnchor>
  <xdr:twoCellAnchor>
    <xdr:from>
      <xdr:col>6</xdr:col>
      <xdr:colOff>180974</xdr:colOff>
      <xdr:row>29</xdr:row>
      <xdr:rowOff>9525</xdr:rowOff>
    </xdr:from>
    <xdr:to>
      <xdr:col>6</xdr:col>
      <xdr:colOff>1162049</xdr:colOff>
      <xdr:row>30</xdr:row>
      <xdr:rowOff>19050</xdr:rowOff>
    </xdr:to>
    <xdr:sp macro="" textlink="$I$11">
      <xdr:nvSpPr>
        <xdr:cNvPr id="9" name="8 CuadroTexto"/>
        <xdr:cNvSpPr txBox="1"/>
      </xdr:nvSpPr>
      <xdr:spPr>
        <a:xfrm>
          <a:off x="7153274" y="5219700"/>
          <a:ext cx="981075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C00AFF5D-DA97-48FE-AAAB-E34B86D5491B}" type="TxLink">
            <a:rPr lang="es-MX" sz="1000" b="0" i="0" u="none" strike="noStrike">
              <a:solidFill>
                <a:srgbClr val="000000"/>
              </a:solidFill>
              <a:latin typeface="Arialri"/>
            </a:rPr>
            <a:pPr algn="r"/>
            <a:t> 618,000,885 </a:t>
          </a:fld>
          <a:endParaRPr lang="es-MX" sz="1000"/>
        </a:p>
      </xdr:txBody>
    </xdr:sp>
    <xdr:clientData/>
  </xdr:twoCellAnchor>
  <xdr:twoCellAnchor>
    <xdr:from>
      <xdr:col>6</xdr:col>
      <xdr:colOff>171450</xdr:colOff>
      <xdr:row>30</xdr:row>
      <xdr:rowOff>152400</xdr:rowOff>
    </xdr:from>
    <xdr:to>
      <xdr:col>6</xdr:col>
      <xdr:colOff>1152525</xdr:colOff>
      <xdr:row>32</xdr:row>
      <xdr:rowOff>0</xdr:rowOff>
    </xdr:to>
    <xdr:sp macro="" textlink="$J$11">
      <xdr:nvSpPr>
        <xdr:cNvPr id="10" name="9 CuadroTexto"/>
        <xdr:cNvSpPr txBox="1"/>
      </xdr:nvSpPr>
      <xdr:spPr>
        <a:xfrm>
          <a:off x="7143750" y="5524500"/>
          <a:ext cx="981075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A6939886-AFC6-4EDE-B35E-ED90AD5438FA}" type="TxLink">
            <a:rPr lang="es-MX" sz="1000" b="0" i="0" u="none" strike="noStrike">
              <a:solidFill>
                <a:srgbClr val="000000"/>
              </a:solidFill>
              <a:latin typeface="Arialri"/>
            </a:rPr>
            <a:pPr algn="r"/>
            <a:t> 62,316,149 </a:t>
          </a:fld>
          <a:endParaRPr lang="es-MX" sz="1000"/>
        </a:p>
      </xdr:txBody>
    </xdr:sp>
    <xdr:clientData/>
  </xdr:twoCellAnchor>
  <xdr:twoCellAnchor>
    <xdr:from>
      <xdr:col>6</xdr:col>
      <xdr:colOff>161925</xdr:colOff>
      <xdr:row>32</xdr:row>
      <xdr:rowOff>152400</xdr:rowOff>
    </xdr:from>
    <xdr:to>
      <xdr:col>6</xdr:col>
      <xdr:colOff>1143000</xdr:colOff>
      <xdr:row>34</xdr:row>
      <xdr:rowOff>0</xdr:rowOff>
    </xdr:to>
    <xdr:sp macro="" textlink="$J$12">
      <xdr:nvSpPr>
        <xdr:cNvPr id="11" name="10 CuadroTexto"/>
        <xdr:cNvSpPr txBox="1"/>
      </xdr:nvSpPr>
      <xdr:spPr>
        <a:xfrm>
          <a:off x="7134225" y="5848350"/>
          <a:ext cx="981075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4D579631-D37B-4685-A90D-006E473F1983}" type="TxLink">
            <a:rPr lang="es-MX" sz="1000" b="0" i="0" u="none" strike="noStrike">
              <a:solidFill>
                <a:srgbClr val="000000"/>
              </a:solidFill>
              <a:latin typeface="Arialri"/>
            </a:rPr>
            <a:pPr algn="r"/>
            <a:t> 555,684,736 </a:t>
          </a:fld>
          <a:endParaRPr lang="es-MX" sz="1000"/>
        </a:p>
      </xdr:txBody>
    </xdr:sp>
    <xdr:clientData/>
  </xdr:twoCellAnchor>
  <xdr:twoCellAnchor>
    <xdr:from>
      <xdr:col>0</xdr:col>
      <xdr:colOff>104775</xdr:colOff>
      <xdr:row>40</xdr:row>
      <xdr:rowOff>180975</xdr:rowOff>
    </xdr:from>
    <xdr:to>
      <xdr:col>6</xdr:col>
      <xdr:colOff>1066800</xdr:colOff>
      <xdr:row>40</xdr:row>
      <xdr:rowOff>180975</xdr:rowOff>
    </xdr:to>
    <xdr:sp macro="" textlink="">
      <xdr:nvSpPr>
        <xdr:cNvPr id="12" name="Line 7"/>
        <xdr:cNvSpPr>
          <a:spLocks noChangeShapeType="1"/>
        </xdr:cNvSpPr>
      </xdr:nvSpPr>
      <xdr:spPr bwMode="auto">
        <a:xfrm>
          <a:off x="104775" y="7467600"/>
          <a:ext cx="793432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85725</xdr:colOff>
      <xdr:row>45</xdr:row>
      <xdr:rowOff>114300</xdr:rowOff>
    </xdr:from>
    <xdr:to>
      <xdr:col>6</xdr:col>
      <xdr:colOff>1047750</xdr:colOff>
      <xdr:row>45</xdr:row>
      <xdr:rowOff>114300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>
          <a:off x="85725" y="8391525"/>
          <a:ext cx="793432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219074</xdr:colOff>
      <xdr:row>44</xdr:row>
      <xdr:rowOff>152400</xdr:rowOff>
    </xdr:from>
    <xdr:to>
      <xdr:col>6</xdr:col>
      <xdr:colOff>400049</xdr:colOff>
      <xdr:row>72</xdr:row>
      <xdr:rowOff>76200</xdr:rowOff>
    </xdr:to>
    <xdr:graphicFrame macro="">
      <xdr:nvGraphicFramePr>
        <xdr:cNvPr id="16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78</xdr:row>
      <xdr:rowOff>180975</xdr:rowOff>
    </xdr:from>
    <xdr:to>
      <xdr:col>6</xdr:col>
      <xdr:colOff>1066800</xdr:colOff>
      <xdr:row>78</xdr:row>
      <xdr:rowOff>180975</xdr:rowOff>
    </xdr:to>
    <xdr:sp macro="" textlink="">
      <xdr:nvSpPr>
        <xdr:cNvPr id="17" name="Line 7"/>
        <xdr:cNvSpPr>
          <a:spLocks noChangeShapeType="1"/>
        </xdr:cNvSpPr>
      </xdr:nvSpPr>
      <xdr:spPr bwMode="auto">
        <a:xfrm>
          <a:off x="104775" y="14135100"/>
          <a:ext cx="793432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85725</xdr:colOff>
      <xdr:row>83</xdr:row>
      <xdr:rowOff>114300</xdr:rowOff>
    </xdr:from>
    <xdr:to>
      <xdr:col>6</xdr:col>
      <xdr:colOff>1047750</xdr:colOff>
      <xdr:row>83</xdr:row>
      <xdr:rowOff>114300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85725" y="15059025"/>
          <a:ext cx="793432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228600</xdr:colOff>
      <xdr:row>85</xdr:row>
      <xdr:rowOff>114300</xdr:rowOff>
    </xdr:from>
    <xdr:to>
      <xdr:col>6</xdr:col>
      <xdr:colOff>114300</xdr:colOff>
      <xdr:row>110</xdr:row>
      <xdr:rowOff>95250</xdr:rowOff>
    </xdr:to>
    <xdr:graphicFrame macro="">
      <xdr:nvGraphicFramePr>
        <xdr:cNvPr id="21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104775</xdr:colOff>
      <xdr:row>115</xdr:row>
      <xdr:rowOff>180975</xdr:rowOff>
    </xdr:from>
    <xdr:to>
      <xdr:col>6</xdr:col>
      <xdr:colOff>1066800</xdr:colOff>
      <xdr:row>115</xdr:row>
      <xdr:rowOff>180975</xdr:rowOff>
    </xdr:to>
    <xdr:sp macro="" textlink="">
      <xdr:nvSpPr>
        <xdr:cNvPr id="22" name="Line 7"/>
        <xdr:cNvSpPr>
          <a:spLocks noChangeShapeType="1"/>
        </xdr:cNvSpPr>
      </xdr:nvSpPr>
      <xdr:spPr bwMode="auto">
        <a:xfrm>
          <a:off x="104775" y="20678775"/>
          <a:ext cx="793432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85725</xdr:colOff>
      <xdr:row>120</xdr:row>
      <xdr:rowOff>114300</xdr:rowOff>
    </xdr:from>
    <xdr:to>
      <xdr:col>6</xdr:col>
      <xdr:colOff>1047750</xdr:colOff>
      <xdr:row>120</xdr:row>
      <xdr:rowOff>114300</xdr:rowOff>
    </xdr:to>
    <xdr:sp macro="" textlink="">
      <xdr:nvSpPr>
        <xdr:cNvPr id="24" name="Line 3"/>
        <xdr:cNvSpPr>
          <a:spLocks noChangeShapeType="1"/>
        </xdr:cNvSpPr>
      </xdr:nvSpPr>
      <xdr:spPr bwMode="auto">
        <a:xfrm>
          <a:off x="85725" y="21602700"/>
          <a:ext cx="793432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121</xdr:row>
      <xdr:rowOff>19050</xdr:rowOff>
    </xdr:from>
    <xdr:to>
      <xdr:col>6</xdr:col>
      <xdr:colOff>285750</xdr:colOff>
      <xdr:row>149</xdr:row>
      <xdr:rowOff>0</xdr:rowOff>
    </xdr:to>
    <xdr:graphicFrame macro="">
      <xdr:nvGraphicFramePr>
        <xdr:cNvPr id="26" name="5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342900</xdr:colOff>
      <xdr:row>29</xdr:row>
      <xdr:rowOff>85725</xdr:rowOff>
    </xdr:from>
    <xdr:to>
      <xdr:col>5</xdr:col>
      <xdr:colOff>447675</xdr:colOff>
      <xdr:row>30</xdr:row>
      <xdr:rowOff>19050</xdr:rowOff>
    </xdr:to>
    <xdr:sp macro="" textlink="">
      <xdr:nvSpPr>
        <xdr:cNvPr id="27" name="26 CuadroTexto"/>
        <xdr:cNvSpPr txBox="1"/>
      </xdr:nvSpPr>
      <xdr:spPr>
        <a:xfrm>
          <a:off x="6153150" y="5295900"/>
          <a:ext cx="104775" cy="95250"/>
        </a:xfrm>
        <a:prstGeom prst="rect">
          <a:avLst/>
        </a:prstGeom>
        <a:gradFill>
          <a:gsLst>
            <a:gs pos="0">
              <a:srgbClr val="000000"/>
            </a:gs>
            <a:gs pos="39999">
              <a:srgbClr val="0A128C"/>
            </a:gs>
            <a:gs pos="70000">
              <a:srgbClr val="181CC7"/>
            </a:gs>
            <a:gs pos="88000">
              <a:srgbClr val="7005D4"/>
            </a:gs>
            <a:gs pos="100000">
              <a:srgbClr val="8C3D91"/>
            </a:gs>
          </a:gsLst>
          <a:lin ang="5400000" scaled="0"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MX" sz="1100"/>
        </a:p>
      </xdr:txBody>
    </xdr:sp>
    <xdr:clientData/>
  </xdr:twoCellAnchor>
  <xdr:twoCellAnchor>
    <xdr:from>
      <xdr:col>5</xdr:col>
      <xdr:colOff>352425</xdr:colOff>
      <xdr:row>31</xdr:row>
      <xdr:rowOff>66675</xdr:rowOff>
    </xdr:from>
    <xdr:to>
      <xdr:col>5</xdr:col>
      <xdr:colOff>457200</xdr:colOff>
      <xdr:row>32</xdr:row>
      <xdr:rowOff>0</xdr:rowOff>
    </xdr:to>
    <xdr:sp macro="" textlink="">
      <xdr:nvSpPr>
        <xdr:cNvPr id="28" name="27 CuadroTexto"/>
        <xdr:cNvSpPr txBox="1"/>
      </xdr:nvSpPr>
      <xdr:spPr>
        <a:xfrm>
          <a:off x="6162675" y="5600700"/>
          <a:ext cx="104775" cy="95250"/>
        </a:xfrm>
        <a:prstGeom prst="rect">
          <a:avLst/>
        </a:prstGeom>
        <a:gradFill>
          <a:gsLst>
            <a:gs pos="0">
              <a:srgbClr val="8488C4"/>
            </a:gs>
            <a:gs pos="53000">
              <a:srgbClr val="D4DEFF"/>
            </a:gs>
            <a:gs pos="83000">
              <a:srgbClr val="D4DEFF"/>
            </a:gs>
            <a:gs pos="100000">
              <a:srgbClr val="96AB94"/>
            </a:gs>
          </a:gsLst>
          <a:lin ang="5400000" scaled="0"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MX" sz="1100"/>
        </a:p>
      </xdr:txBody>
    </xdr:sp>
    <xdr:clientData/>
  </xdr:twoCellAnchor>
  <xdr:twoCellAnchor>
    <xdr:from>
      <xdr:col>5</xdr:col>
      <xdr:colOff>342900</xdr:colOff>
      <xdr:row>33</xdr:row>
      <xdr:rowOff>66675</xdr:rowOff>
    </xdr:from>
    <xdr:to>
      <xdr:col>5</xdr:col>
      <xdr:colOff>447675</xdr:colOff>
      <xdr:row>34</xdr:row>
      <xdr:rowOff>0</xdr:rowOff>
    </xdr:to>
    <xdr:sp macro="" textlink="">
      <xdr:nvSpPr>
        <xdr:cNvPr id="29" name="28 CuadroTexto"/>
        <xdr:cNvSpPr txBox="1"/>
      </xdr:nvSpPr>
      <xdr:spPr>
        <a:xfrm>
          <a:off x="6153150" y="5924550"/>
          <a:ext cx="104775" cy="95250"/>
        </a:xfrm>
        <a:prstGeom prst="rect">
          <a:avLst/>
        </a:prstGeom>
        <a:gradFill>
          <a:gsLst>
            <a:gs pos="0">
              <a:srgbClr val="C00000"/>
            </a:gs>
            <a:gs pos="30000">
              <a:srgbClr val="66008F"/>
            </a:gs>
            <a:gs pos="64999">
              <a:srgbClr val="BA0066"/>
            </a:gs>
            <a:gs pos="89999">
              <a:srgbClr val="FF0000"/>
            </a:gs>
            <a:gs pos="100000">
              <a:srgbClr val="FF8200"/>
            </a:gs>
          </a:gsLst>
          <a:lin ang="5400000" scaled="0"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MX" sz="1100"/>
        </a:p>
      </xdr:txBody>
    </xdr:sp>
    <xdr:clientData/>
  </xdr:twoCellAnchor>
  <xdr:twoCellAnchor>
    <xdr:from>
      <xdr:col>5</xdr:col>
      <xdr:colOff>1133475</xdr:colOff>
      <xdr:row>66</xdr:row>
      <xdr:rowOff>9525</xdr:rowOff>
    </xdr:from>
    <xdr:to>
      <xdr:col>6</xdr:col>
      <xdr:colOff>1133475</xdr:colOff>
      <xdr:row>67</xdr:row>
      <xdr:rowOff>28575</xdr:rowOff>
    </xdr:to>
    <xdr:sp macro="" textlink="$J$54">
      <xdr:nvSpPr>
        <xdr:cNvPr id="30" name="29 CuadroTexto"/>
        <xdr:cNvSpPr txBox="1"/>
      </xdr:nvSpPr>
      <xdr:spPr bwMode="auto">
        <a:xfrm>
          <a:off x="6943725" y="11563350"/>
          <a:ext cx="11620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B0BB6EE1-17DC-4A29-AB86-2A28C1258798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134,629,088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1143000</xdr:colOff>
      <xdr:row>64</xdr:row>
      <xdr:rowOff>123825</xdr:rowOff>
    </xdr:from>
    <xdr:to>
      <xdr:col>6</xdr:col>
      <xdr:colOff>1143000</xdr:colOff>
      <xdr:row>65</xdr:row>
      <xdr:rowOff>142875</xdr:rowOff>
    </xdr:to>
    <xdr:sp macro="" textlink="$J$53">
      <xdr:nvSpPr>
        <xdr:cNvPr id="34" name="33 CuadroTexto"/>
        <xdr:cNvSpPr txBox="1"/>
      </xdr:nvSpPr>
      <xdr:spPr bwMode="auto">
        <a:xfrm>
          <a:off x="6953250" y="11353800"/>
          <a:ext cx="11620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B3160454-07F0-4DEB-B1D7-629730F8E58E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0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1143000</xdr:colOff>
      <xdr:row>61</xdr:row>
      <xdr:rowOff>19050</xdr:rowOff>
    </xdr:from>
    <xdr:to>
      <xdr:col>6</xdr:col>
      <xdr:colOff>1143000</xdr:colOff>
      <xdr:row>62</xdr:row>
      <xdr:rowOff>47625</xdr:rowOff>
    </xdr:to>
    <xdr:sp macro="" textlink="$J$49">
      <xdr:nvSpPr>
        <xdr:cNvPr id="41" name="40 CuadroTexto"/>
        <xdr:cNvSpPr txBox="1"/>
      </xdr:nvSpPr>
      <xdr:spPr bwMode="auto">
        <a:xfrm>
          <a:off x="6953250" y="10763250"/>
          <a:ext cx="11620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A33BF3FD-D699-4765-BD08-50078082FD32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1,704,833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1143000</xdr:colOff>
      <xdr:row>62</xdr:row>
      <xdr:rowOff>66675</xdr:rowOff>
    </xdr:from>
    <xdr:to>
      <xdr:col>6</xdr:col>
      <xdr:colOff>1143000</xdr:colOff>
      <xdr:row>63</xdr:row>
      <xdr:rowOff>95250</xdr:rowOff>
    </xdr:to>
    <xdr:sp macro="" textlink="$J$50">
      <xdr:nvSpPr>
        <xdr:cNvPr id="43" name="42 CuadroTexto"/>
        <xdr:cNvSpPr txBox="1"/>
      </xdr:nvSpPr>
      <xdr:spPr bwMode="auto">
        <a:xfrm>
          <a:off x="6953250" y="10972800"/>
          <a:ext cx="11620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5FBDD884-DB21-4083-AF95-2DE26EA30B97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1,292,380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1143000</xdr:colOff>
      <xdr:row>58</xdr:row>
      <xdr:rowOff>47625</xdr:rowOff>
    </xdr:from>
    <xdr:to>
      <xdr:col>6</xdr:col>
      <xdr:colOff>1143000</xdr:colOff>
      <xdr:row>59</xdr:row>
      <xdr:rowOff>76200</xdr:rowOff>
    </xdr:to>
    <xdr:sp macro="" textlink="$J$47">
      <xdr:nvSpPr>
        <xdr:cNvPr id="45" name="44 CuadroTexto"/>
        <xdr:cNvSpPr txBox="1"/>
      </xdr:nvSpPr>
      <xdr:spPr bwMode="auto">
        <a:xfrm>
          <a:off x="6953250" y="10467975"/>
          <a:ext cx="11620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CD414B88-A1AC-4B19-8273-CD9AEBB12A7A}" type="TxLink">
            <a:rPr lang="es-MX" sz="700">
              <a:latin typeface="Arial" pitchFamily="34" charset="0"/>
              <a:cs typeface="Arial" pitchFamily="34" charset="0"/>
            </a:rPr>
            <a:pPr algn="r"/>
            <a:t> </a:t>
          </a:fld>
          <a:endParaRPr lang="es-MX" sz="7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1152525</xdr:colOff>
      <xdr:row>60</xdr:row>
      <xdr:rowOff>0</xdr:rowOff>
    </xdr:from>
    <xdr:to>
      <xdr:col>6</xdr:col>
      <xdr:colOff>1152525</xdr:colOff>
      <xdr:row>61</xdr:row>
      <xdr:rowOff>19050</xdr:rowOff>
    </xdr:to>
    <xdr:sp macro="" textlink="$J$48">
      <xdr:nvSpPr>
        <xdr:cNvPr id="46" name="45 CuadroTexto"/>
        <xdr:cNvSpPr txBox="1"/>
      </xdr:nvSpPr>
      <xdr:spPr bwMode="auto">
        <a:xfrm>
          <a:off x="6946900" y="10429875"/>
          <a:ext cx="1158875" cy="177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3EED62AF-3ED1-4222-B156-9209246B2CC9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33,947,259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1143000</xdr:colOff>
      <xdr:row>63</xdr:row>
      <xdr:rowOff>104775</xdr:rowOff>
    </xdr:from>
    <xdr:to>
      <xdr:col>6</xdr:col>
      <xdr:colOff>1143000</xdr:colOff>
      <xdr:row>64</xdr:row>
      <xdr:rowOff>133350</xdr:rowOff>
    </xdr:to>
    <xdr:sp macro="" textlink="$J$51">
      <xdr:nvSpPr>
        <xdr:cNvPr id="47" name="46 CuadroTexto"/>
        <xdr:cNvSpPr txBox="1"/>
      </xdr:nvSpPr>
      <xdr:spPr bwMode="auto">
        <a:xfrm>
          <a:off x="6953250" y="11172825"/>
          <a:ext cx="116205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2038E091-6F37-40BB-9DE5-328679FB8DE5}" type="TxLink">
            <a:rPr lang="es-MX" sz="800">
              <a:latin typeface="Arial" pitchFamily="34" charset="0"/>
              <a:cs typeface="Arial" pitchFamily="34" charset="0"/>
            </a:rPr>
            <a:pPr algn="r"/>
            <a:t>2,267,478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857250</xdr:colOff>
      <xdr:row>103</xdr:row>
      <xdr:rowOff>133350</xdr:rowOff>
    </xdr:from>
    <xdr:to>
      <xdr:col>6</xdr:col>
      <xdr:colOff>1076325</xdr:colOff>
      <xdr:row>105</xdr:row>
      <xdr:rowOff>0</xdr:rowOff>
    </xdr:to>
    <xdr:sp macro="" textlink="$J$87">
      <xdr:nvSpPr>
        <xdr:cNvPr id="48" name="47 CuadroTexto"/>
        <xdr:cNvSpPr txBox="1"/>
      </xdr:nvSpPr>
      <xdr:spPr bwMode="auto">
        <a:xfrm>
          <a:off x="6667500" y="18230850"/>
          <a:ext cx="13811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BD110FCB-8C18-47D3-AD1F-4C89028B4D28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 5,177,104 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857250</xdr:colOff>
      <xdr:row>105</xdr:row>
      <xdr:rowOff>47625</xdr:rowOff>
    </xdr:from>
    <xdr:to>
      <xdr:col>6</xdr:col>
      <xdr:colOff>1076325</xdr:colOff>
      <xdr:row>106</xdr:row>
      <xdr:rowOff>76200</xdr:rowOff>
    </xdr:to>
    <xdr:sp macro="" textlink="$J$88">
      <xdr:nvSpPr>
        <xdr:cNvPr id="49" name="48 CuadroTexto"/>
        <xdr:cNvSpPr txBox="1"/>
      </xdr:nvSpPr>
      <xdr:spPr bwMode="auto">
        <a:xfrm>
          <a:off x="6667500" y="18468975"/>
          <a:ext cx="13811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BC12EA71-4BA8-4AC1-B2C0-9C11773F1862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 -   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857250</xdr:colOff>
      <xdr:row>106</xdr:row>
      <xdr:rowOff>152400</xdr:rowOff>
    </xdr:from>
    <xdr:to>
      <xdr:col>6</xdr:col>
      <xdr:colOff>1076325</xdr:colOff>
      <xdr:row>108</xdr:row>
      <xdr:rowOff>19050</xdr:rowOff>
    </xdr:to>
    <xdr:sp macro="" textlink="$J$89">
      <xdr:nvSpPr>
        <xdr:cNvPr id="50" name="49 CuadroTexto"/>
        <xdr:cNvSpPr txBox="1"/>
      </xdr:nvSpPr>
      <xdr:spPr bwMode="auto">
        <a:xfrm>
          <a:off x="6667500" y="18735675"/>
          <a:ext cx="13811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26E72CA9-7F0B-4796-8F6F-96AB0E89E1D4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 10,015,693 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857250</xdr:colOff>
      <xdr:row>108</xdr:row>
      <xdr:rowOff>66675</xdr:rowOff>
    </xdr:from>
    <xdr:to>
      <xdr:col>6</xdr:col>
      <xdr:colOff>1076325</xdr:colOff>
      <xdr:row>109</xdr:row>
      <xdr:rowOff>95250</xdr:rowOff>
    </xdr:to>
    <xdr:sp macro="" textlink="$J$90">
      <xdr:nvSpPr>
        <xdr:cNvPr id="51" name="50 CuadroTexto"/>
        <xdr:cNvSpPr txBox="1"/>
      </xdr:nvSpPr>
      <xdr:spPr bwMode="auto">
        <a:xfrm>
          <a:off x="6667500" y="18973800"/>
          <a:ext cx="13811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D83917F1-BE7F-4B0C-8BB4-111BC773C545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 47,123,352 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847725</xdr:colOff>
      <xdr:row>140</xdr:row>
      <xdr:rowOff>9525</xdr:rowOff>
    </xdr:from>
    <xdr:to>
      <xdr:col>6</xdr:col>
      <xdr:colOff>1066800</xdr:colOff>
      <xdr:row>141</xdr:row>
      <xdr:rowOff>38100</xdr:rowOff>
    </xdr:to>
    <xdr:sp macro="" textlink="$J$124">
      <xdr:nvSpPr>
        <xdr:cNvPr id="54" name="53 CuadroTexto"/>
        <xdr:cNvSpPr txBox="1"/>
      </xdr:nvSpPr>
      <xdr:spPr bwMode="auto">
        <a:xfrm>
          <a:off x="6657975" y="24612600"/>
          <a:ext cx="13811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34628DEA-4B68-42EB-8186-02FA13F6CAEF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 577,035,241 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847725</xdr:colOff>
      <xdr:row>142</xdr:row>
      <xdr:rowOff>28575</xdr:rowOff>
    </xdr:from>
    <xdr:to>
      <xdr:col>6</xdr:col>
      <xdr:colOff>1066800</xdr:colOff>
      <xdr:row>143</xdr:row>
      <xdr:rowOff>57150</xdr:rowOff>
    </xdr:to>
    <xdr:sp macro="" textlink="$J$125">
      <xdr:nvSpPr>
        <xdr:cNvPr id="55" name="54 CuadroTexto"/>
        <xdr:cNvSpPr txBox="1"/>
      </xdr:nvSpPr>
      <xdr:spPr bwMode="auto">
        <a:xfrm>
          <a:off x="6657975" y="24955500"/>
          <a:ext cx="13811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32A876CB-8FA7-4A85-ABF2-6B1EB00CB127}" type="TxLink">
            <a:rPr lang="es-MX" sz="800">
              <a:latin typeface="Arial" pitchFamily="34" charset="0"/>
              <a:cs typeface="Arial" pitchFamily="34" charset="0"/>
            </a:rPr>
            <a:pPr algn="r"/>
            <a:t>-299,784,591 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847725</xdr:colOff>
      <xdr:row>144</xdr:row>
      <xdr:rowOff>76200</xdr:rowOff>
    </xdr:from>
    <xdr:to>
      <xdr:col>6</xdr:col>
      <xdr:colOff>1066800</xdr:colOff>
      <xdr:row>145</xdr:row>
      <xdr:rowOff>104775</xdr:rowOff>
    </xdr:to>
    <xdr:sp macro="" textlink="$J$126">
      <xdr:nvSpPr>
        <xdr:cNvPr id="56" name="55 CuadroTexto"/>
        <xdr:cNvSpPr txBox="1"/>
      </xdr:nvSpPr>
      <xdr:spPr bwMode="auto">
        <a:xfrm>
          <a:off x="6657975" y="25326975"/>
          <a:ext cx="13811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A3A541A4-2535-4A24-97EE-EEA753F0CE5E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 278,434,086 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866775</xdr:colOff>
      <xdr:row>147</xdr:row>
      <xdr:rowOff>28575</xdr:rowOff>
    </xdr:from>
    <xdr:to>
      <xdr:col>6</xdr:col>
      <xdr:colOff>1085850</xdr:colOff>
      <xdr:row>148</xdr:row>
      <xdr:rowOff>57150</xdr:rowOff>
    </xdr:to>
    <xdr:sp macro="" textlink="$J$132">
      <xdr:nvSpPr>
        <xdr:cNvPr id="63" name="62 CuadroTexto"/>
        <xdr:cNvSpPr txBox="1"/>
      </xdr:nvSpPr>
      <xdr:spPr bwMode="auto">
        <a:xfrm>
          <a:off x="6677025" y="25765125"/>
          <a:ext cx="13811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81F34084-3363-48EB-BD63-DFD590E4BDDB}" type="TxLink">
            <a:rPr lang="es-MX" sz="700">
              <a:latin typeface="Arial" pitchFamily="34" charset="0"/>
              <a:cs typeface="Arial" pitchFamily="34" charset="0"/>
            </a:rPr>
            <a:pPr algn="r"/>
            <a:t> </a:t>
          </a:fld>
          <a:endParaRPr lang="es-MX" sz="7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514349</xdr:colOff>
      <xdr:row>0</xdr:row>
      <xdr:rowOff>0</xdr:rowOff>
    </xdr:from>
    <xdr:to>
      <xdr:col>7</xdr:col>
      <xdr:colOff>17852</xdr:colOff>
      <xdr:row>2</xdr:row>
      <xdr:rowOff>28575</xdr:rowOff>
    </xdr:to>
    <xdr:pic>
      <xdr:nvPicPr>
        <xdr:cNvPr id="52" name="51 Imagen" descr="1.pn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24599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209550</xdr:colOff>
      <xdr:row>2</xdr:row>
      <xdr:rowOff>48544</xdr:rowOff>
    </xdr:to>
    <xdr:pic>
      <xdr:nvPicPr>
        <xdr:cNvPr id="53" name="52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514349</xdr:colOff>
      <xdr:row>37</xdr:row>
      <xdr:rowOff>9525</xdr:rowOff>
    </xdr:from>
    <xdr:to>
      <xdr:col>7</xdr:col>
      <xdr:colOff>17852</xdr:colOff>
      <xdr:row>39</xdr:row>
      <xdr:rowOff>38100</xdr:rowOff>
    </xdr:to>
    <xdr:pic>
      <xdr:nvPicPr>
        <xdr:cNvPr id="57" name="56 Imagen" descr="1.pn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24599" y="651510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9525</xdr:rowOff>
    </xdr:from>
    <xdr:to>
      <xdr:col>1</xdr:col>
      <xdr:colOff>209550</xdr:colOff>
      <xdr:row>39</xdr:row>
      <xdr:rowOff>58069</xdr:rowOff>
    </xdr:to>
    <xdr:pic>
      <xdr:nvPicPr>
        <xdr:cNvPr id="58" name="57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6515100"/>
          <a:ext cx="1371600" cy="5343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752475</xdr:colOff>
      <xdr:row>75</xdr:row>
      <xdr:rowOff>85725</xdr:rowOff>
    </xdr:from>
    <xdr:to>
      <xdr:col>7</xdr:col>
      <xdr:colOff>17852</xdr:colOff>
      <xdr:row>76</xdr:row>
      <xdr:rowOff>276225</xdr:rowOff>
    </xdr:to>
    <xdr:pic>
      <xdr:nvPicPr>
        <xdr:cNvPr id="59" name="58 Imagen" descr="1.pn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62725" y="13096875"/>
          <a:ext cx="1589477" cy="381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75</xdr:row>
      <xdr:rowOff>57150</xdr:rowOff>
    </xdr:from>
    <xdr:to>
      <xdr:col>1</xdr:col>
      <xdr:colOff>295275</xdr:colOff>
      <xdr:row>76</xdr:row>
      <xdr:rowOff>276225</xdr:rowOff>
    </xdr:to>
    <xdr:pic>
      <xdr:nvPicPr>
        <xdr:cNvPr id="60" name="59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5725" y="13068300"/>
          <a:ext cx="1371600" cy="409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514349</xdr:colOff>
      <xdr:row>112</xdr:row>
      <xdr:rowOff>9525</xdr:rowOff>
    </xdr:from>
    <xdr:to>
      <xdr:col>7</xdr:col>
      <xdr:colOff>17852</xdr:colOff>
      <xdr:row>114</xdr:row>
      <xdr:rowOff>38100</xdr:rowOff>
    </xdr:to>
    <xdr:pic>
      <xdr:nvPicPr>
        <xdr:cNvPr id="61" name="60 Imagen" descr="1.pn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24599" y="1956435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9525</xdr:rowOff>
    </xdr:from>
    <xdr:to>
      <xdr:col>1</xdr:col>
      <xdr:colOff>209550</xdr:colOff>
      <xdr:row>114</xdr:row>
      <xdr:rowOff>58069</xdr:rowOff>
    </xdr:to>
    <xdr:pic>
      <xdr:nvPicPr>
        <xdr:cNvPr id="64" name="63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9564350"/>
          <a:ext cx="1371600" cy="5343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1133475</xdr:colOff>
      <xdr:row>67</xdr:row>
      <xdr:rowOff>38100</xdr:rowOff>
    </xdr:from>
    <xdr:to>
      <xdr:col>6</xdr:col>
      <xdr:colOff>1133475</xdr:colOff>
      <xdr:row>68</xdr:row>
      <xdr:rowOff>57150</xdr:rowOff>
    </xdr:to>
    <xdr:sp macro="" textlink="$J$55">
      <xdr:nvSpPr>
        <xdr:cNvPr id="62" name="61 CuadroTexto"/>
        <xdr:cNvSpPr txBox="1"/>
      </xdr:nvSpPr>
      <xdr:spPr bwMode="auto">
        <a:xfrm>
          <a:off x="6943725" y="11753850"/>
          <a:ext cx="11620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5AA4B715-F992-4B73-B565-18BF37332744}" type="TxLink">
            <a:rPr lang="es-MX" sz="8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pPr algn="r"/>
            <a:t>444,159,847</a:t>
          </a:fld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</xdr:row>
      <xdr:rowOff>152400</xdr:rowOff>
    </xdr:from>
    <xdr:to>
      <xdr:col>6</xdr:col>
      <xdr:colOff>1066800</xdr:colOff>
      <xdr:row>3</xdr:row>
      <xdr:rowOff>152400</xdr:rowOff>
    </xdr:to>
    <xdr:sp macro="" textlink="">
      <xdr:nvSpPr>
        <xdr:cNvPr id="11" name="Line 7"/>
        <xdr:cNvSpPr>
          <a:spLocks noChangeShapeType="1"/>
        </xdr:cNvSpPr>
      </xdr:nvSpPr>
      <xdr:spPr bwMode="auto">
        <a:xfrm>
          <a:off x="104775" y="933450"/>
          <a:ext cx="793432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85725</xdr:colOff>
      <xdr:row>8</xdr:row>
      <xdr:rowOff>114300</xdr:rowOff>
    </xdr:from>
    <xdr:to>
      <xdr:col>6</xdr:col>
      <xdr:colOff>1047750</xdr:colOff>
      <xdr:row>8</xdr:row>
      <xdr:rowOff>114300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85725" y="8391525"/>
          <a:ext cx="793432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152400</xdr:colOff>
      <xdr:row>41</xdr:row>
      <xdr:rowOff>180975</xdr:rowOff>
    </xdr:from>
    <xdr:to>
      <xdr:col>6</xdr:col>
      <xdr:colOff>1114425</xdr:colOff>
      <xdr:row>41</xdr:row>
      <xdr:rowOff>180975</xdr:rowOff>
    </xdr:to>
    <xdr:sp macro="" textlink="">
      <xdr:nvSpPr>
        <xdr:cNvPr id="38" name="Line 7"/>
        <xdr:cNvSpPr>
          <a:spLocks noChangeShapeType="1"/>
        </xdr:cNvSpPr>
      </xdr:nvSpPr>
      <xdr:spPr bwMode="auto">
        <a:xfrm>
          <a:off x="152400" y="971550"/>
          <a:ext cx="793432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85725</xdr:colOff>
      <xdr:row>46</xdr:row>
      <xdr:rowOff>114300</xdr:rowOff>
    </xdr:from>
    <xdr:to>
      <xdr:col>6</xdr:col>
      <xdr:colOff>1047750</xdr:colOff>
      <xdr:row>46</xdr:row>
      <xdr:rowOff>114300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85725" y="8391525"/>
          <a:ext cx="793432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47</xdr:row>
      <xdr:rowOff>57150</xdr:rowOff>
    </xdr:from>
    <xdr:to>
      <xdr:col>6</xdr:col>
      <xdr:colOff>371475</xdr:colOff>
      <xdr:row>74</xdr:row>
      <xdr:rowOff>142875</xdr:rowOff>
    </xdr:to>
    <xdr:graphicFrame macro="">
      <xdr:nvGraphicFramePr>
        <xdr:cNvPr id="36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66675</xdr:colOff>
      <xdr:row>67</xdr:row>
      <xdr:rowOff>19050</xdr:rowOff>
    </xdr:from>
    <xdr:to>
      <xdr:col>6</xdr:col>
      <xdr:colOff>1143000</xdr:colOff>
      <xdr:row>68</xdr:row>
      <xdr:rowOff>66675</xdr:rowOff>
    </xdr:to>
    <xdr:sp macro="" textlink="#REF!">
      <xdr:nvSpPr>
        <xdr:cNvPr id="37" name="36 CuadroTexto"/>
        <xdr:cNvSpPr txBox="1"/>
      </xdr:nvSpPr>
      <xdr:spPr>
        <a:xfrm>
          <a:off x="7038975" y="11744325"/>
          <a:ext cx="107632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8B1F70FE-FAA7-40DD-B111-B699B684B25A}" type="TxLink">
            <a:rPr lang="es-MX" sz="1000"/>
            <a:pPr algn="r"/>
            <a:t> </a:t>
          </a:fld>
          <a:endParaRPr lang="es-MX" sz="1000"/>
        </a:p>
      </xdr:txBody>
    </xdr:sp>
    <xdr:clientData/>
  </xdr:twoCellAnchor>
  <xdr:twoCellAnchor>
    <xdr:from>
      <xdr:col>6</xdr:col>
      <xdr:colOff>28575</xdr:colOff>
      <xdr:row>72</xdr:row>
      <xdr:rowOff>76201</xdr:rowOff>
    </xdr:from>
    <xdr:to>
      <xdr:col>6</xdr:col>
      <xdr:colOff>1143000</xdr:colOff>
      <xdr:row>73</xdr:row>
      <xdr:rowOff>133350</xdr:rowOff>
    </xdr:to>
    <xdr:sp macro="" textlink="$J$51">
      <xdr:nvSpPr>
        <xdr:cNvPr id="39" name="38 CuadroTexto"/>
        <xdr:cNvSpPr txBox="1"/>
      </xdr:nvSpPr>
      <xdr:spPr>
        <a:xfrm>
          <a:off x="7000875" y="12896851"/>
          <a:ext cx="1114425" cy="219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6E71754F-73CE-40E2-8734-3290301E04DB}" type="TxLink">
            <a:rPr lang="es-MX" sz="1000" b="0" i="0" u="none" strike="noStrike">
              <a:solidFill>
                <a:srgbClr val="000000"/>
              </a:solidFill>
              <a:latin typeface="+mn-lt"/>
              <a:cs typeface="Calibri"/>
            </a:rPr>
            <a:pPr algn="r"/>
            <a:t> -   </a:t>
          </a:fld>
          <a:endParaRPr lang="es-MX" sz="1000">
            <a:latin typeface="+mn-lt"/>
          </a:endParaRPr>
        </a:p>
      </xdr:txBody>
    </xdr:sp>
    <xdr:clientData/>
  </xdr:twoCellAnchor>
  <xdr:twoCellAnchor>
    <xdr:from>
      <xdr:col>5</xdr:col>
      <xdr:colOff>28575</xdr:colOff>
      <xdr:row>70</xdr:row>
      <xdr:rowOff>142876</xdr:rowOff>
    </xdr:from>
    <xdr:to>
      <xdr:col>6</xdr:col>
      <xdr:colOff>123825</xdr:colOff>
      <xdr:row>72</xdr:row>
      <xdr:rowOff>66676</xdr:rowOff>
    </xdr:to>
    <xdr:sp macro="" textlink="$I$50">
      <xdr:nvSpPr>
        <xdr:cNvPr id="46" name="45 CuadroTexto"/>
        <xdr:cNvSpPr txBox="1"/>
      </xdr:nvSpPr>
      <xdr:spPr>
        <a:xfrm>
          <a:off x="5838825" y="12639676"/>
          <a:ext cx="125730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fld id="{B2C90854-D0A4-4293-BCEB-C92ED44F498D}" type="TxLink">
            <a:rPr lang="es-MX" sz="1000"/>
            <a:pPr algn="l"/>
            <a:t>TRANSFERENCIAS</a:t>
          </a:fld>
          <a:endParaRPr lang="es-MX" sz="1000"/>
        </a:p>
      </xdr:txBody>
    </xdr:sp>
    <xdr:clientData/>
  </xdr:twoCellAnchor>
  <xdr:twoCellAnchor>
    <xdr:from>
      <xdr:col>5</xdr:col>
      <xdr:colOff>28575</xdr:colOff>
      <xdr:row>72</xdr:row>
      <xdr:rowOff>76201</xdr:rowOff>
    </xdr:from>
    <xdr:to>
      <xdr:col>6</xdr:col>
      <xdr:colOff>123825</xdr:colOff>
      <xdr:row>74</xdr:row>
      <xdr:rowOff>1</xdr:rowOff>
    </xdr:to>
    <xdr:sp macro="" textlink="$I$51">
      <xdr:nvSpPr>
        <xdr:cNvPr id="47" name="46 CuadroTexto"/>
        <xdr:cNvSpPr txBox="1"/>
      </xdr:nvSpPr>
      <xdr:spPr>
        <a:xfrm>
          <a:off x="5838825" y="12896851"/>
          <a:ext cx="125730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fld id="{800D5A2C-7852-4798-991D-8A7279953F82}" type="TxLink">
            <a:rPr lang="es-MX" sz="1000"/>
            <a:pPr algn="l"/>
            <a:t>INVERSION PUBLICA</a:t>
          </a:fld>
          <a:endParaRPr lang="es-MX" sz="1000"/>
        </a:p>
      </xdr:txBody>
    </xdr:sp>
    <xdr:clientData/>
  </xdr:twoCellAnchor>
  <xdr:twoCellAnchor>
    <xdr:from>
      <xdr:col>5</xdr:col>
      <xdr:colOff>28575</xdr:colOff>
      <xdr:row>69</xdr:row>
      <xdr:rowOff>76201</xdr:rowOff>
    </xdr:from>
    <xdr:to>
      <xdr:col>6</xdr:col>
      <xdr:colOff>123825</xdr:colOff>
      <xdr:row>71</xdr:row>
      <xdr:rowOff>1</xdr:rowOff>
    </xdr:to>
    <xdr:sp macro="" textlink="">
      <xdr:nvSpPr>
        <xdr:cNvPr id="60" name="59 CuadroTexto"/>
        <xdr:cNvSpPr txBox="1"/>
      </xdr:nvSpPr>
      <xdr:spPr>
        <a:xfrm>
          <a:off x="5838825" y="12411076"/>
          <a:ext cx="125730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000">
              <a:latin typeface="+mn-lt"/>
            </a:rPr>
            <a:t>GASTO</a:t>
          </a:r>
          <a:r>
            <a:rPr lang="en-US" sz="1000" baseline="0">
              <a:latin typeface="+mn-lt"/>
            </a:rPr>
            <a:t> CORRIENTE</a:t>
          </a:r>
          <a:endParaRPr lang="en-US" sz="1000">
            <a:latin typeface="+mn-lt"/>
          </a:endParaRPr>
        </a:p>
      </xdr:txBody>
    </xdr:sp>
    <xdr:clientData/>
  </xdr:twoCellAnchor>
  <xdr:twoCellAnchor>
    <xdr:from>
      <xdr:col>5</xdr:col>
      <xdr:colOff>1152525</xdr:colOff>
      <xdr:row>69</xdr:row>
      <xdr:rowOff>66676</xdr:rowOff>
    </xdr:from>
    <xdr:to>
      <xdr:col>6</xdr:col>
      <xdr:colOff>1143000</xdr:colOff>
      <xdr:row>70</xdr:row>
      <xdr:rowOff>152401</xdr:rowOff>
    </xdr:to>
    <xdr:sp macro="" textlink="$J$55">
      <xdr:nvSpPr>
        <xdr:cNvPr id="61" name="60 CuadroTexto"/>
        <xdr:cNvSpPr txBox="1"/>
      </xdr:nvSpPr>
      <xdr:spPr>
        <a:xfrm>
          <a:off x="6946900" y="12226926"/>
          <a:ext cx="1149350" cy="24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D480A15F-B550-4927-9B6F-1195C3ED7829}" type="TxLink">
            <a:rPr lang="es-MX" sz="1000" b="0" i="0" u="none" strike="noStrike">
              <a:solidFill>
                <a:srgbClr val="000000"/>
              </a:solidFill>
              <a:latin typeface="+mn-lt"/>
            </a:rPr>
            <a:pPr algn="r"/>
            <a:t> 5,283,813,628 </a:t>
          </a:fld>
          <a:endParaRPr lang="es-MX" sz="1000">
            <a:latin typeface="+mn-lt"/>
          </a:endParaRPr>
        </a:p>
      </xdr:txBody>
    </xdr:sp>
    <xdr:clientData/>
  </xdr:twoCellAnchor>
  <xdr:twoCellAnchor>
    <xdr:from>
      <xdr:col>5</xdr:col>
      <xdr:colOff>9525</xdr:colOff>
      <xdr:row>70</xdr:row>
      <xdr:rowOff>9525</xdr:rowOff>
    </xdr:from>
    <xdr:to>
      <xdr:col>5</xdr:col>
      <xdr:colOff>85725</xdr:colOff>
      <xdr:row>70</xdr:row>
      <xdr:rowOff>85725</xdr:rowOff>
    </xdr:to>
    <xdr:sp macro="" textlink="">
      <xdr:nvSpPr>
        <xdr:cNvPr id="62" name="61 CuadroTexto"/>
        <xdr:cNvSpPr txBox="1"/>
      </xdr:nvSpPr>
      <xdr:spPr>
        <a:xfrm>
          <a:off x="5819775" y="12506325"/>
          <a:ext cx="76200" cy="76200"/>
        </a:xfrm>
        <a:prstGeom prst="rect">
          <a:avLst/>
        </a:prstGeom>
        <a:gradFill>
          <a:gsLst>
            <a:gs pos="0">
              <a:srgbClr val="C00000"/>
            </a:gs>
            <a:gs pos="30000">
              <a:srgbClr val="66008F"/>
            </a:gs>
            <a:gs pos="64999">
              <a:srgbClr val="BA0066"/>
            </a:gs>
            <a:gs pos="89999">
              <a:srgbClr val="FF0000"/>
            </a:gs>
            <a:gs pos="100000">
              <a:srgbClr val="FF8200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MX" sz="1100"/>
        </a:p>
      </xdr:txBody>
    </xdr:sp>
    <xdr:clientData/>
  </xdr:twoCellAnchor>
  <xdr:twoCellAnchor>
    <xdr:from>
      <xdr:col>5</xdr:col>
      <xdr:colOff>9525</xdr:colOff>
      <xdr:row>71</xdr:row>
      <xdr:rowOff>85725</xdr:rowOff>
    </xdr:from>
    <xdr:to>
      <xdr:col>5</xdr:col>
      <xdr:colOff>85725</xdr:colOff>
      <xdr:row>72</xdr:row>
      <xdr:rowOff>0</xdr:rowOff>
    </xdr:to>
    <xdr:sp macro="" textlink="">
      <xdr:nvSpPr>
        <xdr:cNvPr id="63" name="62 CuadroTexto"/>
        <xdr:cNvSpPr txBox="1"/>
      </xdr:nvSpPr>
      <xdr:spPr>
        <a:xfrm>
          <a:off x="5819775" y="12744450"/>
          <a:ext cx="76200" cy="76200"/>
        </a:xfrm>
        <a:prstGeom prst="rect">
          <a:avLst/>
        </a:prstGeom>
        <a:gradFill>
          <a:gsLst>
            <a:gs pos="0">
              <a:srgbClr val="000082"/>
            </a:gs>
            <a:gs pos="13000">
              <a:srgbClr val="0047FF"/>
            </a:gs>
            <a:gs pos="28000">
              <a:srgbClr val="000082"/>
            </a:gs>
            <a:gs pos="42999">
              <a:srgbClr val="0047FF"/>
            </a:gs>
            <a:gs pos="58000">
              <a:srgbClr val="000082"/>
            </a:gs>
            <a:gs pos="72000">
              <a:srgbClr val="0047FF"/>
            </a:gs>
            <a:gs pos="87000">
              <a:srgbClr val="000082"/>
            </a:gs>
            <a:gs pos="100000">
              <a:srgbClr val="0047FF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MX" sz="1100"/>
        </a:p>
      </xdr:txBody>
    </xdr:sp>
    <xdr:clientData/>
  </xdr:twoCellAnchor>
  <xdr:twoCellAnchor>
    <xdr:from>
      <xdr:col>5</xdr:col>
      <xdr:colOff>0</xdr:colOff>
      <xdr:row>73</xdr:row>
      <xdr:rowOff>9525</xdr:rowOff>
    </xdr:from>
    <xdr:to>
      <xdr:col>5</xdr:col>
      <xdr:colOff>76200</xdr:colOff>
      <xdr:row>73</xdr:row>
      <xdr:rowOff>85725</xdr:rowOff>
    </xdr:to>
    <xdr:sp macro="" textlink="">
      <xdr:nvSpPr>
        <xdr:cNvPr id="64" name="63 CuadroTexto"/>
        <xdr:cNvSpPr txBox="1"/>
      </xdr:nvSpPr>
      <xdr:spPr>
        <a:xfrm>
          <a:off x="5810250" y="12992100"/>
          <a:ext cx="76200" cy="76200"/>
        </a:xfrm>
        <a:prstGeom prst="rect">
          <a:avLst/>
        </a:prstGeom>
        <a:gradFill>
          <a:gsLst>
            <a:gs pos="0">
              <a:srgbClr val="FFF200"/>
            </a:gs>
            <a:gs pos="45000">
              <a:srgbClr val="FF7A00"/>
            </a:gs>
            <a:gs pos="70000">
              <a:srgbClr val="FF0300"/>
            </a:gs>
            <a:gs pos="100000">
              <a:srgbClr val="4D0808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MX" sz="1100"/>
        </a:p>
      </xdr:txBody>
    </xdr:sp>
    <xdr:clientData/>
  </xdr:twoCellAnchor>
  <xdr:twoCellAnchor>
    <xdr:from>
      <xdr:col>0</xdr:col>
      <xdr:colOff>85725</xdr:colOff>
      <xdr:row>37</xdr:row>
      <xdr:rowOff>0</xdr:rowOff>
    </xdr:from>
    <xdr:to>
      <xdr:col>6</xdr:col>
      <xdr:colOff>457200</xdr:colOff>
      <xdr:row>37</xdr:row>
      <xdr:rowOff>19050</xdr:rowOff>
    </xdr:to>
    <xdr:graphicFrame macro="">
      <xdr:nvGraphicFramePr>
        <xdr:cNvPr id="34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11</xdr:row>
      <xdr:rowOff>104775</xdr:rowOff>
    </xdr:from>
    <xdr:to>
      <xdr:col>6</xdr:col>
      <xdr:colOff>457200</xdr:colOff>
      <xdr:row>36</xdr:row>
      <xdr:rowOff>152400</xdr:rowOff>
    </xdr:to>
    <xdr:graphicFrame macro="">
      <xdr:nvGraphicFramePr>
        <xdr:cNvPr id="53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19050</xdr:colOff>
      <xdr:row>24</xdr:row>
      <xdr:rowOff>133350</xdr:rowOff>
    </xdr:from>
    <xdr:to>
      <xdr:col>6</xdr:col>
      <xdr:colOff>1143000</xdr:colOff>
      <xdr:row>26</xdr:row>
      <xdr:rowOff>38100</xdr:rowOff>
    </xdr:to>
    <xdr:sp macro="" textlink="$J$10">
      <xdr:nvSpPr>
        <xdr:cNvPr id="54" name="53 CuadroTexto"/>
        <xdr:cNvSpPr txBox="1"/>
      </xdr:nvSpPr>
      <xdr:spPr>
        <a:xfrm>
          <a:off x="6991350" y="4533900"/>
          <a:ext cx="1123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r"/>
          <a:fld id="{FB4A56B3-CBE4-446D-85B8-3A15A57D94E6}" type="TxLink">
            <a:rPr lang="es-MX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pPr marL="0" indent="0" algn="r"/>
            <a:t>478,997,932</a:t>
          </a:fld>
          <a:endParaRPr lang="es-MX" sz="9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0</xdr:colOff>
      <xdr:row>26</xdr:row>
      <xdr:rowOff>142875</xdr:rowOff>
    </xdr:from>
    <xdr:to>
      <xdr:col>6</xdr:col>
      <xdr:colOff>1142999</xdr:colOff>
      <xdr:row>28</xdr:row>
      <xdr:rowOff>38100</xdr:rowOff>
    </xdr:to>
    <xdr:sp macro="" textlink="$J$11">
      <xdr:nvSpPr>
        <xdr:cNvPr id="55" name="54 CuadroTexto"/>
        <xdr:cNvSpPr txBox="1"/>
      </xdr:nvSpPr>
      <xdr:spPr>
        <a:xfrm>
          <a:off x="6972300" y="4867275"/>
          <a:ext cx="1142999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BD7CEB94-081F-4ACC-AF62-84951364797E}" type="TxLink">
            <a:rPr lang="es-MX" sz="900" b="0" i="0" u="none" strike="noStrike">
              <a:solidFill>
                <a:srgbClr val="000000"/>
              </a:solidFill>
              <a:latin typeface="+mn-lt"/>
            </a:rPr>
            <a:pPr algn="r"/>
            <a:t>167,540,578</a:t>
          </a:fld>
          <a:endParaRPr lang="es-MX" sz="900">
            <a:latin typeface="+mn-lt"/>
          </a:endParaRPr>
        </a:p>
      </xdr:txBody>
    </xdr:sp>
    <xdr:clientData/>
  </xdr:twoCellAnchor>
  <xdr:twoCellAnchor>
    <xdr:from>
      <xdr:col>5</xdr:col>
      <xdr:colOff>1114425</xdr:colOff>
      <xdr:row>28</xdr:row>
      <xdr:rowOff>142874</xdr:rowOff>
    </xdr:from>
    <xdr:to>
      <xdr:col>6</xdr:col>
      <xdr:colOff>1143000</xdr:colOff>
      <xdr:row>30</xdr:row>
      <xdr:rowOff>85725</xdr:rowOff>
    </xdr:to>
    <xdr:sp macro="" textlink="$J$12">
      <xdr:nvSpPr>
        <xdr:cNvPr id="56" name="55 CuadroTexto"/>
        <xdr:cNvSpPr txBox="1"/>
      </xdr:nvSpPr>
      <xdr:spPr>
        <a:xfrm>
          <a:off x="6924675" y="5191124"/>
          <a:ext cx="1190625" cy="266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DDB63C15-1DC0-4E63-B597-87F9F6FFCC91}" type="TxLink">
            <a:rPr lang="es-MX" sz="900" b="0" i="0" u="none" strike="noStrike">
              <a:solidFill>
                <a:srgbClr val="000000"/>
              </a:solidFill>
              <a:latin typeface="+mn-lt"/>
            </a:rPr>
            <a:pPr algn="r"/>
            <a:t>5,136,347,028</a:t>
          </a:fld>
          <a:endParaRPr lang="es-MX" sz="900">
            <a:latin typeface="+mn-lt"/>
          </a:endParaRPr>
        </a:p>
      </xdr:txBody>
    </xdr:sp>
    <xdr:clientData/>
  </xdr:twoCellAnchor>
  <xdr:twoCellAnchor>
    <xdr:from>
      <xdr:col>6</xdr:col>
      <xdr:colOff>19051</xdr:colOff>
      <xdr:row>29</xdr:row>
      <xdr:rowOff>142875</xdr:rowOff>
    </xdr:from>
    <xdr:to>
      <xdr:col>6</xdr:col>
      <xdr:colOff>1143001</xdr:colOff>
      <xdr:row>31</xdr:row>
      <xdr:rowOff>47625</xdr:rowOff>
    </xdr:to>
    <xdr:sp macro="" textlink="#REF!">
      <xdr:nvSpPr>
        <xdr:cNvPr id="57" name="56 CuadroTexto"/>
        <xdr:cNvSpPr txBox="1"/>
      </xdr:nvSpPr>
      <xdr:spPr>
        <a:xfrm>
          <a:off x="6991351" y="5353050"/>
          <a:ext cx="1123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9318A5B8-D974-4CD6-8F33-9747C5124AF0}" type="TxLink">
            <a:rPr lang="es-MX" sz="900" b="0" i="0" u="none" strike="noStrike">
              <a:solidFill>
                <a:srgbClr val="000000"/>
              </a:solidFill>
              <a:latin typeface="+mn-lt"/>
            </a:rPr>
            <a:pPr algn="r"/>
            <a:t> </a:t>
          </a:fld>
          <a:endParaRPr lang="es-MX" sz="900">
            <a:latin typeface="+mn-lt"/>
          </a:endParaRPr>
        </a:p>
      </xdr:txBody>
    </xdr:sp>
    <xdr:clientData/>
  </xdr:twoCellAnchor>
  <xdr:twoCellAnchor>
    <xdr:from>
      <xdr:col>5</xdr:col>
      <xdr:colOff>1066800</xdr:colOff>
      <xdr:row>30</xdr:row>
      <xdr:rowOff>161924</xdr:rowOff>
    </xdr:from>
    <xdr:to>
      <xdr:col>6</xdr:col>
      <xdr:colOff>1143000</xdr:colOff>
      <xdr:row>32</xdr:row>
      <xdr:rowOff>95250</xdr:rowOff>
    </xdr:to>
    <xdr:sp macro="" textlink="$J$13">
      <xdr:nvSpPr>
        <xdr:cNvPr id="65" name="64 CuadroTexto"/>
        <xdr:cNvSpPr txBox="1"/>
      </xdr:nvSpPr>
      <xdr:spPr>
        <a:xfrm>
          <a:off x="6877050" y="5534024"/>
          <a:ext cx="1238250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0C96F7F0-AD48-4423-BC77-0129308BAFBA}" type="TxLink">
            <a:rPr lang="es-MX" sz="900">
              <a:latin typeface="+mn-lt"/>
            </a:rPr>
            <a:pPr algn="r"/>
            <a:t>0</a:t>
          </a:fld>
          <a:endParaRPr lang="es-MX" sz="900">
            <a:latin typeface="+mn-lt"/>
          </a:endParaRPr>
        </a:p>
      </xdr:txBody>
    </xdr:sp>
    <xdr:clientData/>
  </xdr:twoCellAnchor>
  <xdr:twoCellAnchor>
    <xdr:from>
      <xdr:col>5</xdr:col>
      <xdr:colOff>1143000</xdr:colOff>
      <xdr:row>32</xdr:row>
      <xdr:rowOff>152400</xdr:rowOff>
    </xdr:from>
    <xdr:to>
      <xdr:col>6</xdr:col>
      <xdr:colOff>1133475</xdr:colOff>
      <xdr:row>34</xdr:row>
      <xdr:rowOff>57150</xdr:rowOff>
    </xdr:to>
    <xdr:sp macro="" textlink="$J$14">
      <xdr:nvSpPr>
        <xdr:cNvPr id="66" name="65 CuadroTexto"/>
        <xdr:cNvSpPr txBox="1"/>
      </xdr:nvSpPr>
      <xdr:spPr>
        <a:xfrm>
          <a:off x="6953250" y="5848350"/>
          <a:ext cx="11525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20FC8DB7-B2E9-4B4E-AF7E-19AFFE3CD631}" type="TxLink">
            <a:rPr lang="es-MX" sz="900" b="0" i="0" u="none" strike="noStrike">
              <a:solidFill>
                <a:srgbClr val="000000"/>
              </a:solidFill>
              <a:latin typeface="+mn-lt"/>
            </a:rPr>
            <a:pPr algn="r"/>
            <a:t>127,022</a:t>
          </a:fld>
          <a:endParaRPr lang="es-MX" sz="900">
            <a:latin typeface="+mn-lt"/>
          </a:endParaRPr>
        </a:p>
      </xdr:txBody>
    </xdr:sp>
    <xdr:clientData/>
  </xdr:twoCellAnchor>
  <xdr:twoCellAnchor>
    <xdr:from>
      <xdr:col>6</xdr:col>
      <xdr:colOff>0</xdr:colOff>
      <xdr:row>35</xdr:row>
      <xdr:rowOff>19050</xdr:rowOff>
    </xdr:from>
    <xdr:to>
      <xdr:col>6</xdr:col>
      <xdr:colOff>1152525</xdr:colOff>
      <xdr:row>36</xdr:row>
      <xdr:rowOff>85725</xdr:rowOff>
    </xdr:to>
    <xdr:sp macro="" textlink="$J$15">
      <xdr:nvSpPr>
        <xdr:cNvPr id="68" name="67 CuadroTexto"/>
        <xdr:cNvSpPr txBox="1"/>
      </xdr:nvSpPr>
      <xdr:spPr>
        <a:xfrm>
          <a:off x="6972300" y="6200775"/>
          <a:ext cx="11525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5E26C6A5-A6C6-4BEF-AC1E-D23BD18EC0C7}" type="TxLink">
            <a:rPr lang="es-MX" sz="900" b="0" i="0" u="none" strike="noStrike">
              <a:solidFill>
                <a:srgbClr val="000000"/>
              </a:solidFill>
              <a:latin typeface="+mn-lt"/>
            </a:rPr>
            <a:pPr algn="r"/>
            <a:t>11,617,764</a:t>
          </a:fld>
          <a:endParaRPr lang="es-MX" sz="900">
            <a:latin typeface="+mn-lt"/>
          </a:endParaRPr>
        </a:p>
      </xdr:txBody>
    </xdr:sp>
    <xdr:clientData/>
  </xdr:twoCellAnchor>
  <xdr:twoCellAnchor editAs="oneCell">
    <xdr:from>
      <xdr:col>5</xdr:col>
      <xdr:colOff>514349</xdr:colOff>
      <xdr:row>0</xdr:row>
      <xdr:rowOff>0</xdr:rowOff>
    </xdr:from>
    <xdr:to>
      <xdr:col>7</xdr:col>
      <xdr:colOff>17852</xdr:colOff>
      <xdr:row>2</xdr:row>
      <xdr:rowOff>28575</xdr:rowOff>
    </xdr:to>
    <xdr:pic>
      <xdr:nvPicPr>
        <xdr:cNvPr id="30" name="29 Imagen" descr="1.pn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4599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209550</xdr:colOff>
      <xdr:row>2</xdr:row>
      <xdr:rowOff>48544</xdr:rowOff>
    </xdr:to>
    <xdr:pic>
      <xdr:nvPicPr>
        <xdr:cNvPr id="31" name="30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514349</xdr:colOff>
      <xdr:row>38</xdr:row>
      <xdr:rowOff>19050</xdr:rowOff>
    </xdr:from>
    <xdr:to>
      <xdr:col>7</xdr:col>
      <xdr:colOff>17852</xdr:colOff>
      <xdr:row>40</xdr:row>
      <xdr:rowOff>47625</xdr:rowOff>
    </xdr:to>
    <xdr:pic>
      <xdr:nvPicPr>
        <xdr:cNvPr id="32" name="31 Imagen" descr="1.pn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4599" y="6715125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19050</xdr:rowOff>
    </xdr:from>
    <xdr:to>
      <xdr:col>1</xdr:col>
      <xdr:colOff>209550</xdr:colOff>
      <xdr:row>40</xdr:row>
      <xdr:rowOff>67594</xdr:rowOff>
    </xdr:to>
    <xdr:pic>
      <xdr:nvPicPr>
        <xdr:cNvPr id="33" name="32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6715125"/>
          <a:ext cx="1371600" cy="5343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1133475</xdr:colOff>
      <xdr:row>70</xdr:row>
      <xdr:rowOff>123826</xdr:rowOff>
    </xdr:from>
    <xdr:to>
      <xdr:col>6</xdr:col>
      <xdr:colOff>1123950</xdr:colOff>
      <xdr:row>72</xdr:row>
      <xdr:rowOff>47626</xdr:rowOff>
    </xdr:to>
    <xdr:sp macro="" textlink="$J$50">
      <xdr:nvSpPr>
        <xdr:cNvPr id="40" name="39 CuadroTexto"/>
        <xdr:cNvSpPr txBox="1"/>
      </xdr:nvSpPr>
      <xdr:spPr>
        <a:xfrm>
          <a:off x="6943725" y="12620626"/>
          <a:ext cx="1152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r"/>
          <a:fld id="{2B032795-2AE5-42FC-8C5E-9642DA60323C}" type="TxLink">
            <a:rPr lang="en-US" sz="1000" b="0" i="0" u="none" strike="noStrike">
              <a:solidFill>
                <a:srgbClr val="000000"/>
              </a:solidFill>
              <a:latin typeface="Calibri"/>
              <a:cs typeface="Arial"/>
            </a:rPr>
            <a:pPr algn="r"/>
            <a:t> 232,382,610 </a:t>
          </a:fld>
          <a:endParaRPr lang="es-MX" sz="1000" b="0" i="0" u="none" strike="noStrike">
            <a:solidFill>
              <a:srgbClr val="000000"/>
            </a:solidFill>
            <a:latin typeface="+mn-lt"/>
            <a:cs typeface="Arial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8</xdr:col>
      <xdr:colOff>9525</xdr:colOff>
      <xdr:row>4</xdr:row>
      <xdr:rowOff>209550</xdr:rowOff>
    </xdr:to>
    <xdr:sp macro="" textlink="">
      <xdr:nvSpPr>
        <xdr:cNvPr id="71681" name="Line 1"/>
        <xdr:cNvSpPr>
          <a:spLocks noChangeShapeType="1"/>
        </xdr:cNvSpPr>
      </xdr:nvSpPr>
      <xdr:spPr bwMode="auto">
        <a:xfrm>
          <a:off x="0" y="1028700"/>
          <a:ext cx="8534400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8</xdr:col>
      <xdr:colOff>0</xdr:colOff>
      <xdr:row>9</xdr:row>
      <xdr:rowOff>57150</xdr:rowOff>
    </xdr:to>
    <xdr:sp macro="" textlink="">
      <xdr:nvSpPr>
        <xdr:cNvPr id="71682" name="Line 2"/>
        <xdr:cNvSpPr>
          <a:spLocks noChangeShapeType="1"/>
        </xdr:cNvSpPr>
      </xdr:nvSpPr>
      <xdr:spPr bwMode="auto">
        <a:xfrm flipV="1">
          <a:off x="0" y="1847850"/>
          <a:ext cx="852487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190499</xdr:colOff>
      <xdr:row>0</xdr:row>
      <xdr:rowOff>0</xdr:rowOff>
    </xdr:from>
    <xdr:to>
      <xdr:col>8</xdr:col>
      <xdr:colOff>75002</xdr:colOff>
      <xdr:row>2</xdr:row>
      <xdr:rowOff>161925</xdr:rowOff>
    </xdr:to>
    <xdr:pic>
      <xdr:nvPicPr>
        <xdr:cNvPr id="6" name="5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15124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514350</xdr:colOff>
      <xdr:row>2</xdr:row>
      <xdr:rowOff>181894</xdr:rowOff>
    </xdr:to>
    <xdr:pic>
      <xdr:nvPicPr>
        <xdr:cNvPr id="7" name="6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8</xdr:col>
      <xdr:colOff>9525</xdr:colOff>
      <xdr:row>4</xdr:row>
      <xdr:rowOff>209550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1190625"/>
          <a:ext cx="8534400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8</xdr:col>
      <xdr:colOff>0</xdr:colOff>
      <xdr:row>9</xdr:row>
      <xdr:rowOff>57150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0" y="2009775"/>
          <a:ext cx="852487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190499</xdr:colOff>
      <xdr:row>0</xdr:row>
      <xdr:rowOff>0</xdr:rowOff>
    </xdr:from>
    <xdr:to>
      <xdr:col>8</xdr:col>
      <xdr:colOff>17852</xdr:colOff>
      <xdr:row>2</xdr:row>
      <xdr:rowOff>161925</xdr:rowOff>
    </xdr:to>
    <xdr:pic>
      <xdr:nvPicPr>
        <xdr:cNvPr id="4" name="3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15124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514350</xdr:colOff>
      <xdr:row>2</xdr:row>
      <xdr:rowOff>181894</xdr:rowOff>
    </xdr:to>
    <xdr:pic>
      <xdr:nvPicPr>
        <xdr:cNvPr id="5" name="4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7</xdr:col>
      <xdr:colOff>9525</xdr:colOff>
      <xdr:row>4</xdr:row>
      <xdr:rowOff>209550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1190625"/>
          <a:ext cx="8534400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7</xdr:col>
      <xdr:colOff>0</xdr:colOff>
      <xdr:row>9</xdr:row>
      <xdr:rowOff>57150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0" y="2009775"/>
          <a:ext cx="852487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190499</xdr:colOff>
      <xdr:row>0</xdr:row>
      <xdr:rowOff>0</xdr:rowOff>
    </xdr:from>
    <xdr:to>
      <xdr:col>7</xdr:col>
      <xdr:colOff>17852</xdr:colOff>
      <xdr:row>2</xdr:row>
      <xdr:rowOff>161925</xdr:rowOff>
    </xdr:to>
    <xdr:pic>
      <xdr:nvPicPr>
        <xdr:cNvPr id="4" name="3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15124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800100</xdr:colOff>
      <xdr:row>2</xdr:row>
      <xdr:rowOff>181894</xdr:rowOff>
    </xdr:to>
    <xdr:pic>
      <xdr:nvPicPr>
        <xdr:cNvPr id="5" name="4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7</xdr:col>
      <xdr:colOff>9525</xdr:colOff>
      <xdr:row>4</xdr:row>
      <xdr:rowOff>209550</xdr:rowOff>
    </xdr:to>
    <xdr:sp macro="" textlink="">
      <xdr:nvSpPr>
        <xdr:cNvPr id="73729" name="Line 1"/>
        <xdr:cNvSpPr>
          <a:spLocks noChangeShapeType="1"/>
        </xdr:cNvSpPr>
      </xdr:nvSpPr>
      <xdr:spPr bwMode="auto">
        <a:xfrm>
          <a:off x="0" y="1028700"/>
          <a:ext cx="8534400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7</xdr:col>
      <xdr:colOff>0</xdr:colOff>
      <xdr:row>9</xdr:row>
      <xdr:rowOff>57150</xdr:rowOff>
    </xdr:to>
    <xdr:sp macro="" textlink="">
      <xdr:nvSpPr>
        <xdr:cNvPr id="73730" name="Line 2"/>
        <xdr:cNvSpPr>
          <a:spLocks noChangeShapeType="1"/>
        </xdr:cNvSpPr>
      </xdr:nvSpPr>
      <xdr:spPr bwMode="auto">
        <a:xfrm flipV="1">
          <a:off x="0" y="1847850"/>
          <a:ext cx="852487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190499</xdr:colOff>
      <xdr:row>0</xdr:row>
      <xdr:rowOff>0</xdr:rowOff>
    </xdr:from>
    <xdr:to>
      <xdr:col>7</xdr:col>
      <xdr:colOff>17852</xdr:colOff>
      <xdr:row>2</xdr:row>
      <xdr:rowOff>161925</xdr:rowOff>
    </xdr:to>
    <xdr:pic>
      <xdr:nvPicPr>
        <xdr:cNvPr id="6" name="5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15124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800100</xdr:colOff>
      <xdr:row>2</xdr:row>
      <xdr:rowOff>181894</xdr:rowOff>
    </xdr:to>
    <xdr:pic>
      <xdr:nvPicPr>
        <xdr:cNvPr id="7" name="6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6</xdr:col>
      <xdr:colOff>9525</xdr:colOff>
      <xdr:row>4</xdr:row>
      <xdr:rowOff>209550</xdr:rowOff>
    </xdr:to>
    <xdr:sp macro="" textlink="">
      <xdr:nvSpPr>
        <xdr:cNvPr id="70657" name="Line 1"/>
        <xdr:cNvSpPr>
          <a:spLocks noChangeShapeType="1"/>
        </xdr:cNvSpPr>
      </xdr:nvSpPr>
      <xdr:spPr bwMode="auto">
        <a:xfrm>
          <a:off x="0" y="1028700"/>
          <a:ext cx="84867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6</xdr:col>
      <xdr:colOff>0</xdr:colOff>
      <xdr:row>9</xdr:row>
      <xdr:rowOff>57150</xdr:rowOff>
    </xdr:to>
    <xdr:sp macro="" textlink="">
      <xdr:nvSpPr>
        <xdr:cNvPr id="70658" name="Line 2"/>
        <xdr:cNvSpPr>
          <a:spLocks noChangeShapeType="1"/>
        </xdr:cNvSpPr>
      </xdr:nvSpPr>
      <xdr:spPr bwMode="auto">
        <a:xfrm flipV="1">
          <a:off x="0" y="1847850"/>
          <a:ext cx="847725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200024</xdr:colOff>
      <xdr:row>0</xdr:row>
      <xdr:rowOff>0</xdr:rowOff>
    </xdr:from>
    <xdr:to>
      <xdr:col>6</xdr:col>
      <xdr:colOff>27377</xdr:colOff>
      <xdr:row>2</xdr:row>
      <xdr:rowOff>161925</xdr:rowOff>
    </xdr:to>
    <xdr:pic>
      <xdr:nvPicPr>
        <xdr:cNvPr id="6" name="5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77024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800100</xdr:colOff>
      <xdr:row>2</xdr:row>
      <xdr:rowOff>181894</xdr:rowOff>
    </xdr:to>
    <xdr:pic>
      <xdr:nvPicPr>
        <xdr:cNvPr id="7" name="6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0</xdr:rowOff>
    </xdr:from>
    <xdr:to>
      <xdr:col>13</xdr:col>
      <xdr:colOff>733425</xdr:colOff>
      <xdr:row>4</xdr:row>
      <xdr:rowOff>0</xdr:rowOff>
    </xdr:to>
    <xdr:sp macro="" textlink="">
      <xdr:nvSpPr>
        <xdr:cNvPr id="61441" name="Line 1"/>
        <xdr:cNvSpPr>
          <a:spLocks noChangeShapeType="1"/>
        </xdr:cNvSpPr>
      </xdr:nvSpPr>
      <xdr:spPr bwMode="auto">
        <a:xfrm>
          <a:off x="9525" y="971550"/>
          <a:ext cx="16383000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176894</xdr:colOff>
      <xdr:row>7</xdr:row>
      <xdr:rowOff>122466</xdr:rowOff>
    </xdr:from>
    <xdr:to>
      <xdr:col>12</xdr:col>
      <xdr:colOff>2041072</xdr:colOff>
      <xdr:row>7</xdr:row>
      <xdr:rowOff>169544</xdr:rowOff>
    </xdr:to>
    <xdr:sp macro="" textlink="">
      <xdr:nvSpPr>
        <xdr:cNvPr id="61442" name="Line 2"/>
        <xdr:cNvSpPr>
          <a:spLocks noChangeShapeType="1"/>
        </xdr:cNvSpPr>
      </xdr:nvSpPr>
      <xdr:spPr bwMode="auto">
        <a:xfrm>
          <a:off x="176894" y="1687287"/>
          <a:ext cx="12885964" cy="47078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12</xdr:col>
      <xdr:colOff>238078</xdr:colOff>
      <xdr:row>1</xdr:row>
      <xdr:rowOff>20</xdr:rowOff>
    </xdr:from>
    <xdr:to>
      <xdr:col>12</xdr:col>
      <xdr:colOff>2065681</xdr:colOff>
      <xdr:row>2</xdr:row>
      <xdr:rowOff>146977</xdr:rowOff>
    </xdr:to>
    <xdr:pic>
      <xdr:nvPicPr>
        <xdr:cNvPr id="6" name="5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59864" y="108877"/>
          <a:ext cx="1827603" cy="5143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20</xdr:rowOff>
    </xdr:from>
    <xdr:to>
      <xdr:col>1</xdr:col>
      <xdr:colOff>1371600</xdr:colOff>
      <xdr:row>2</xdr:row>
      <xdr:rowOff>166946</xdr:rowOff>
    </xdr:to>
    <xdr:pic>
      <xdr:nvPicPr>
        <xdr:cNvPr id="7" name="6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08877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0</xdr:rowOff>
    </xdr:from>
    <xdr:to>
      <xdr:col>20</xdr:col>
      <xdr:colOff>733425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525" y="971550"/>
          <a:ext cx="16706850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7</xdr:row>
      <xdr:rowOff>123825</xdr:rowOff>
    </xdr:from>
    <xdr:to>
      <xdr:col>20</xdr:col>
      <xdr:colOff>9525</xdr:colOff>
      <xdr:row>7</xdr:row>
      <xdr:rowOff>142875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04875" y="1695450"/>
          <a:ext cx="15630525" cy="1905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17</xdr:col>
      <xdr:colOff>253999</xdr:colOff>
      <xdr:row>1</xdr:row>
      <xdr:rowOff>0</xdr:rowOff>
    </xdr:from>
    <xdr:to>
      <xdr:col>19</xdr:col>
      <xdr:colOff>938602</xdr:colOff>
      <xdr:row>2</xdr:row>
      <xdr:rowOff>149225</xdr:rowOff>
    </xdr:to>
    <xdr:pic>
      <xdr:nvPicPr>
        <xdr:cNvPr id="4" name="3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84374" y="114300"/>
          <a:ext cx="1827603" cy="520700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1</xdr:row>
      <xdr:rowOff>0</xdr:rowOff>
    </xdr:from>
    <xdr:to>
      <xdr:col>3</xdr:col>
      <xdr:colOff>673100</xdr:colOff>
      <xdr:row>2</xdr:row>
      <xdr:rowOff>169194</xdr:rowOff>
    </xdr:to>
    <xdr:pic>
      <xdr:nvPicPr>
        <xdr:cNvPr id="5" name="4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6375" y="114300"/>
          <a:ext cx="1371600" cy="54066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171450</xdr:rowOff>
    </xdr:from>
    <xdr:to>
      <xdr:col>11</xdr:col>
      <xdr:colOff>552450</xdr:colOff>
      <xdr:row>3</xdr:row>
      <xdr:rowOff>171450</xdr:rowOff>
    </xdr:to>
    <xdr:sp macro="" textlink="">
      <xdr:nvSpPr>
        <xdr:cNvPr id="26631" name="Line 7"/>
        <xdr:cNvSpPr>
          <a:spLocks noChangeShapeType="1"/>
        </xdr:cNvSpPr>
      </xdr:nvSpPr>
      <xdr:spPr bwMode="auto">
        <a:xfrm>
          <a:off x="9525" y="1419225"/>
          <a:ext cx="145446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1028700</xdr:colOff>
      <xdr:row>8</xdr:row>
      <xdr:rowOff>133350</xdr:rowOff>
    </xdr:from>
    <xdr:to>
      <xdr:col>11</xdr:col>
      <xdr:colOff>19050</xdr:colOff>
      <xdr:row>8</xdr:row>
      <xdr:rowOff>133350</xdr:rowOff>
    </xdr:to>
    <xdr:sp macro="" textlink="">
      <xdr:nvSpPr>
        <xdr:cNvPr id="26632" name="Line 8"/>
        <xdr:cNvSpPr>
          <a:spLocks noChangeShapeType="1"/>
        </xdr:cNvSpPr>
      </xdr:nvSpPr>
      <xdr:spPr bwMode="auto">
        <a:xfrm>
          <a:off x="571500" y="2857500"/>
          <a:ext cx="1344930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9</xdr:col>
      <xdr:colOff>307973</xdr:colOff>
      <xdr:row>0</xdr:row>
      <xdr:rowOff>79375</xdr:rowOff>
    </xdr:from>
    <xdr:to>
      <xdr:col>11</xdr:col>
      <xdr:colOff>31750</xdr:colOff>
      <xdr:row>2</xdr:row>
      <xdr:rowOff>73025</xdr:rowOff>
    </xdr:to>
    <xdr:pic>
      <xdr:nvPicPr>
        <xdr:cNvPr id="14" name="13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6348" y="79375"/>
          <a:ext cx="2581277" cy="7556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88901</xdr:rowOff>
    </xdr:from>
    <xdr:to>
      <xdr:col>3</xdr:col>
      <xdr:colOff>640291</xdr:colOff>
      <xdr:row>2</xdr:row>
      <xdr:rowOff>101993</xdr:rowOff>
    </xdr:to>
    <xdr:pic>
      <xdr:nvPicPr>
        <xdr:cNvPr id="15" name="14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88901"/>
          <a:ext cx="1989666" cy="775092"/>
        </a:xfrm>
        <a:prstGeom prst="rect">
          <a:avLst/>
        </a:prstGeom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1419225</xdr:colOff>
          <xdr:row>57</xdr:row>
          <xdr:rowOff>200025</xdr:rowOff>
        </xdr:from>
        <xdr:to>
          <xdr:col>9</xdr:col>
          <xdr:colOff>1009650</xdr:colOff>
          <xdr:row>59</xdr:row>
          <xdr:rowOff>228600</xdr:rowOff>
        </xdr:to>
        <xdr:sp macro="" textlink="">
          <xdr:nvSpPr>
            <xdr:cNvPr id="26649" name="Object 25" hidden="1">
              <a:extLst>
                <a:ext uri="{63B3BB69-23CF-44E3-9099-C40C66FF867C}">
                  <a14:compatExt spid="_x0000_s26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BBE0E3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304800</xdr:colOff>
          <xdr:row>57</xdr:row>
          <xdr:rowOff>200025</xdr:rowOff>
        </xdr:from>
        <xdr:to>
          <xdr:col>5</xdr:col>
          <xdr:colOff>2085975</xdr:colOff>
          <xdr:row>59</xdr:row>
          <xdr:rowOff>228600</xdr:rowOff>
        </xdr:to>
        <xdr:sp macro="" textlink="">
          <xdr:nvSpPr>
            <xdr:cNvPr id="26650" name="Object 26" hidden="1">
              <a:extLst>
                <a:ext uri="{63B3BB69-23CF-44E3-9099-C40C66FF867C}">
                  <a14:compatExt spid="_x0000_s26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BBE0E3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13</xdr:col>
      <xdr:colOff>733425</xdr:colOff>
      <xdr:row>0</xdr:row>
      <xdr:rowOff>0</xdr:rowOff>
    </xdr:to>
    <xdr:sp macro="" textlink="">
      <xdr:nvSpPr>
        <xdr:cNvPr id="63489" name="Line 1"/>
        <xdr:cNvSpPr>
          <a:spLocks noChangeShapeType="1"/>
        </xdr:cNvSpPr>
      </xdr:nvSpPr>
      <xdr:spPr bwMode="auto">
        <a:xfrm>
          <a:off x="9525" y="0"/>
          <a:ext cx="16725900" cy="0"/>
        </a:xfrm>
        <a:prstGeom prst="line">
          <a:avLst/>
        </a:prstGeom>
        <a:noFill/>
        <a:ln w="57150" cmpd="thickThin">
          <a:solidFill>
            <a:srgbClr val="333399"/>
          </a:solidFill>
          <a:round/>
          <a:headEnd/>
          <a:tailEnd/>
        </a:ln>
      </xdr:spPr>
    </xdr:sp>
    <xdr:clientData/>
  </xdr:twoCellAnchor>
  <xdr:twoCellAnchor>
    <xdr:from>
      <xdr:col>2</xdr:col>
      <xdr:colOff>47625</xdr:colOff>
      <xdr:row>0</xdr:row>
      <xdr:rowOff>0</xdr:rowOff>
    </xdr:from>
    <xdr:to>
      <xdr:col>13</xdr:col>
      <xdr:colOff>9525</xdr:colOff>
      <xdr:row>0</xdr:row>
      <xdr:rowOff>0</xdr:rowOff>
    </xdr:to>
    <xdr:sp macro="" textlink="">
      <xdr:nvSpPr>
        <xdr:cNvPr id="63490" name="Line 2"/>
        <xdr:cNvSpPr>
          <a:spLocks noChangeShapeType="1"/>
        </xdr:cNvSpPr>
      </xdr:nvSpPr>
      <xdr:spPr bwMode="auto">
        <a:xfrm>
          <a:off x="428625" y="0"/>
          <a:ext cx="15582900" cy="0"/>
        </a:xfrm>
        <a:prstGeom prst="line">
          <a:avLst/>
        </a:prstGeom>
        <a:noFill/>
        <a:ln w="19050">
          <a:solidFill>
            <a:srgbClr val="333399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0</xdr:row>
      <xdr:rowOff>0</xdr:rowOff>
    </xdr:from>
    <xdr:to>
      <xdr:col>3</xdr:col>
      <xdr:colOff>76200</xdr:colOff>
      <xdr:row>0</xdr:row>
      <xdr:rowOff>0</xdr:rowOff>
    </xdr:to>
    <xdr:pic>
      <xdr:nvPicPr>
        <xdr:cNvPr id="6349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3400" y="0"/>
          <a:ext cx="2590800" cy="0"/>
        </a:xfrm>
        <a:prstGeom prst="rect">
          <a:avLst/>
        </a:prstGeom>
        <a:noFill/>
      </xdr:spPr>
    </xdr:pic>
    <xdr:clientData/>
  </xdr:twoCellAnchor>
  <xdr:twoCellAnchor>
    <xdr:from>
      <xdr:col>12</xdr:col>
      <xdr:colOff>714375</xdr:colOff>
      <xdr:row>0</xdr:row>
      <xdr:rowOff>0</xdr:rowOff>
    </xdr:from>
    <xdr:to>
      <xdr:col>13</xdr:col>
      <xdr:colOff>104775</xdr:colOff>
      <xdr:row>0</xdr:row>
      <xdr:rowOff>0</xdr:rowOff>
    </xdr:to>
    <xdr:pic>
      <xdr:nvPicPr>
        <xdr:cNvPr id="63492" name="Picture 4" descr="logoArchiv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002000" y="0"/>
          <a:ext cx="10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</xdr:row>
      <xdr:rowOff>0</xdr:rowOff>
    </xdr:from>
    <xdr:to>
      <xdr:col>12</xdr:col>
      <xdr:colOff>733425</xdr:colOff>
      <xdr:row>4</xdr:row>
      <xdr:rowOff>0</xdr:rowOff>
    </xdr:to>
    <xdr:sp macro="" textlink="">
      <xdr:nvSpPr>
        <xdr:cNvPr id="63493" name="Line 5"/>
        <xdr:cNvSpPr>
          <a:spLocks noChangeShapeType="1"/>
        </xdr:cNvSpPr>
      </xdr:nvSpPr>
      <xdr:spPr bwMode="auto">
        <a:xfrm>
          <a:off x="9525" y="971550"/>
          <a:ext cx="159924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178594</xdr:colOff>
      <xdr:row>7</xdr:row>
      <xdr:rowOff>142871</xdr:rowOff>
    </xdr:from>
    <xdr:to>
      <xdr:col>12</xdr:col>
      <xdr:colOff>9524</xdr:colOff>
      <xdr:row>7</xdr:row>
      <xdr:rowOff>142875</xdr:rowOff>
    </xdr:to>
    <xdr:sp macro="" textlink="">
      <xdr:nvSpPr>
        <xdr:cNvPr id="63494" name="Line 6"/>
        <xdr:cNvSpPr>
          <a:spLocks noChangeShapeType="1"/>
        </xdr:cNvSpPr>
      </xdr:nvSpPr>
      <xdr:spPr bwMode="auto">
        <a:xfrm flipV="1">
          <a:off x="178594" y="1726402"/>
          <a:ext cx="11975305" cy="4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9</xdr:col>
      <xdr:colOff>571418</xdr:colOff>
      <xdr:row>0</xdr:row>
      <xdr:rowOff>107175</xdr:rowOff>
    </xdr:from>
    <xdr:to>
      <xdr:col>11</xdr:col>
      <xdr:colOff>1136958</xdr:colOff>
      <xdr:row>2</xdr:row>
      <xdr:rowOff>133369</xdr:rowOff>
    </xdr:to>
    <xdr:pic>
      <xdr:nvPicPr>
        <xdr:cNvPr id="10" name="9 Imagen" descr="1.pn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75074" y="107175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178594</xdr:colOff>
      <xdr:row>0</xdr:row>
      <xdr:rowOff>107175</xdr:rowOff>
    </xdr:from>
    <xdr:to>
      <xdr:col>2</xdr:col>
      <xdr:colOff>1169194</xdr:colOff>
      <xdr:row>2</xdr:row>
      <xdr:rowOff>153338</xdr:rowOff>
    </xdr:to>
    <xdr:pic>
      <xdr:nvPicPr>
        <xdr:cNvPr id="11" name="10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594" y="107175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209550</xdr:rowOff>
    </xdr:from>
    <xdr:to>
      <xdr:col>17</xdr:col>
      <xdr:colOff>9525</xdr:colOff>
      <xdr:row>3</xdr:row>
      <xdr:rowOff>209550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1028700"/>
          <a:ext cx="111156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47625</xdr:rowOff>
    </xdr:from>
    <xdr:to>
      <xdr:col>16</xdr:col>
      <xdr:colOff>123825</xdr:colOff>
      <xdr:row>9</xdr:row>
      <xdr:rowOff>47625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0" y="1838325"/>
          <a:ext cx="11096625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14</xdr:col>
      <xdr:colOff>126999</xdr:colOff>
      <xdr:row>0</xdr:row>
      <xdr:rowOff>0</xdr:rowOff>
    </xdr:from>
    <xdr:to>
      <xdr:col>15</xdr:col>
      <xdr:colOff>1811727</xdr:colOff>
      <xdr:row>2</xdr:row>
      <xdr:rowOff>6350</xdr:rowOff>
    </xdr:to>
    <xdr:pic>
      <xdr:nvPicPr>
        <xdr:cNvPr id="8" name="7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64624" y="0"/>
          <a:ext cx="1827603" cy="5143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</xdr:col>
      <xdr:colOff>593725</xdr:colOff>
      <xdr:row>2</xdr:row>
      <xdr:rowOff>26319</xdr:rowOff>
    </xdr:to>
    <xdr:pic>
      <xdr:nvPicPr>
        <xdr:cNvPr id="9" name="8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104775</xdr:rowOff>
    </xdr:from>
    <xdr:to>
      <xdr:col>21</xdr:col>
      <xdr:colOff>0</xdr:colOff>
      <xdr:row>3</xdr:row>
      <xdr:rowOff>104775</xdr:rowOff>
    </xdr:to>
    <xdr:sp macro="" textlink="">
      <xdr:nvSpPr>
        <xdr:cNvPr id="59393" name="Line 1"/>
        <xdr:cNvSpPr>
          <a:spLocks noChangeShapeType="1"/>
        </xdr:cNvSpPr>
      </xdr:nvSpPr>
      <xdr:spPr bwMode="auto">
        <a:xfrm>
          <a:off x="9525" y="962025"/>
          <a:ext cx="151923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1</xdr:col>
      <xdr:colOff>47625</xdr:colOff>
      <xdr:row>7</xdr:row>
      <xdr:rowOff>123825</xdr:rowOff>
    </xdr:from>
    <xdr:to>
      <xdr:col>20</xdr:col>
      <xdr:colOff>9525</xdr:colOff>
      <xdr:row>7</xdr:row>
      <xdr:rowOff>142875</xdr:rowOff>
    </xdr:to>
    <xdr:sp macro="" textlink="">
      <xdr:nvSpPr>
        <xdr:cNvPr id="59394" name="Line 2"/>
        <xdr:cNvSpPr>
          <a:spLocks noChangeShapeType="1"/>
        </xdr:cNvSpPr>
      </xdr:nvSpPr>
      <xdr:spPr bwMode="auto">
        <a:xfrm>
          <a:off x="238125" y="1695450"/>
          <a:ext cx="14782800" cy="1905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17</xdr:col>
      <xdr:colOff>757602</xdr:colOff>
      <xdr:row>0</xdr:row>
      <xdr:rowOff>0</xdr:rowOff>
    </xdr:from>
    <xdr:to>
      <xdr:col>20</xdr:col>
      <xdr:colOff>29536</xdr:colOff>
      <xdr:row>2</xdr:row>
      <xdr:rowOff>50470</xdr:rowOff>
    </xdr:to>
    <xdr:pic>
      <xdr:nvPicPr>
        <xdr:cNvPr id="6" name="5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48959" y="0"/>
          <a:ext cx="1857291" cy="526720"/>
        </a:xfrm>
        <a:prstGeom prst="rect">
          <a:avLst/>
        </a:prstGeom>
      </xdr:spPr>
    </xdr:pic>
    <xdr:clientData/>
  </xdr:twoCellAnchor>
  <xdr:twoCellAnchor>
    <xdr:from>
      <xdr:col>1</xdr:col>
      <xdr:colOff>13605</xdr:colOff>
      <xdr:row>0</xdr:row>
      <xdr:rowOff>0</xdr:rowOff>
    </xdr:from>
    <xdr:to>
      <xdr:col>4</xdr:col>
      <xdr:colOff>269419</xdr:colOff>
      <xdr:row>2</xdr:row>
      <xdr:rowOff>70439</xdr:rowOff>
    </xdr:to>
    <xdr:pic>
      <xdr:nvPicPr>
        <xdr:cNvPr id="7" name="6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4105" y="0"/>
          <a:ext cx="1371600" cy="54668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0</xdr:rowOff>
    </xdr:from>
    <xdr:to>
      <xdr:col>36</xdr:col>
      <xdr:colOff>733425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525" y="762000"/>
          <a:ext cx="28155900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9529</xdr:colOff>
      <xdr:row>7</xdr:row>
      <xdr:rowOff>123825</xdr:rowOff>
    </xdr:from>
    <xdr:to>
      <xdr:col>35</xdr:col>
      <xdr:colOff>1009654</xdr:colOff>
      <xdr:row>7</xdr:row>
      <xdr:rowOff>142875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9" y="1457325"/>
          <a:ext cx="27422475" cy="1905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oneCellAnchor>
    <xdr:from>
      <xdr:col>33</xdr:col>
      <xdr:colOff>612322</xdr:colOff>
      <xdr:row>1</xdr:row>
      <xdr:rowOff>40822</xdr:rowOff>
    </xdr:from>
    <xdr:ext cx="2476500" cy="516050"/>
    <xdr:pic>
      <xdr:nvPicPr>
        <xdr:cNvPr id="4" name="3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58322" y="231322"/>
          <a:ext cx="2476500" cy="516050"/>
        </a:xfrm>
        <a:prstGeom prst="rect">
          <a:avLst/>
        </a:prstGeom>
      </xdr:spPr>
    </xdr:pic>
    <xdr:clientData/>
  </xdr:oneCellAnchor>
  <xdr:twoCellAnchor>
    <xdr:from>
      <xdr:col>0</xdr:col>
      <xdr:colOff>176892</xdr:colOff>
      <xdr:row>1</xdr:row>
      <xdr:rowOff>54429</xdr:rowOff>
    </xdr:from>
    <xdr:to>
      <xdr:col>6</xdr:col>
      <xdr:colOff>54428</xdr:colOff>
      <xdr:row>2</xdr:row>
      <xdr:rowOff>221355</xdr:rowOff>
    </xdr:to>
    <xdr:pic>
      <xdr:nvPicPr>
        <xdr:cNvPr id="5" name="4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6892" y="244929"/>
          <a:ext cx="4449536" cy="328851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171450</xdr:rowOff>
    </xdr:from>
    <xdr:to>
      <xdr:col>13</xdr:col>
      <xdr:colOff>552450</xdr:colOff>
      <xdr:row>3</xdr:row>
      <xdr:rowOff>171450</xdr:rowOff>
    </xdr:to>
    <xdr:sp macro="" textlink="">
      <xdr:nvSpPr>
        <xdr:cNvPr id="38924" name="Line 12"/>
        <xdr:cNvSpPr>
          <a:spLocks noChangeShapeType="1"/>
        </xdr:cNvSpPr>
      </xdr:nvSpPr>
      <xdr:spPr bwMode="auto">
        <a:xfrm>
          <a:off x="9525" y="1009650"/>
          <a:ext cx="1502092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1028700</xdr:colOff>
      <xdr:row>8</xdr:row>
      <xdr:rowOff>133350</xdr:rowOff>
    </xdr:from>
    <xdr:to>
      <xdr:col>13</xdr:col>
      <xdr:colOff>19050</xdr:colOff>
      <xdr:row>8</xdr:row>
      <xdr:rowOff>133350</xdr:rowOff>
    </xdr:to>
    <xdr:sp macro="" textlink="">
      <xdr:nvSpPr>
        <xdr:cNvPr id="38925" name="Line 13"/>
        <xdr:cNvSpPr>
          <a:spLocks noChangeShapeType="1"/>
        </xdr:cNvSpPr>
      </xdr:nvSpPr>
      <xdr:spPr bwMode="auto">
        <a:xfrm>
          <a:off x="342900" y="1924050"/>
          <a:ext cx="1436370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10</xdr:col>
      <xdr:colOff>745656</xdr:colOff>
      <xdr:row>0</xdr:row>
      <xdr:rowOff>40821</xdr:rowOff>
    </xdr:from>
    <xdr:to>
      <xdr:col>13</xdr:col>
      <xdr:colOff>15294</xdr:colOff>
      <xdr:row>2</xdr:row>
      <xdr:rowOff>190500</xdr:rowOff>
    </xdr:to>
    <xdr:pic>
      <xdr:nvPicPr>
        <xdr:cNvPr id="13" name="12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79763" y="40821"/>
          <a:ext cx="2343151" cy="66675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0</xdr:row>
      <xdr:rowOff>40821</xdr:rowOff>
    </xdr:from>
    <xdr:to>
      <xdr:col>2</xdr:col>
      <xdr:colOff>771072</xdr:colOff>
      <xdr:row>2</xdr:row>
      <xdr:rowOff>216386</xdr:rowOff>
    </xdr:to>
    <xdr:pic>
      <xdr:nvPicPr>
        <xdr:cNvPr id="14" name="13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40821"/>
          <a:ext cx="1778001" cy="692636"/>
        </a:xfrm>
        <a:prstGeom prst="rect">
          <a:avLst/>
        </a:prstGeom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381000</xdr:colOff>
          <xdr:row>60</xdr:row>
          <xdr:rowOff>114300</xdr:rowOff>
        </xdr:from>
        <xdr:to>
          <xdr:col>10</xdr:col>
          <xdr:colOff>685800</xdr:colOff>
          <xdr:row>64</xdr:row>
          <xdr:rowOff>47625</xdr:rowOff>
        </xdr:to>
        <xdr:sp macro="" textlink="">
          <xdr:nvSpPr>
            <xdr:cNvPr id="38941" name="Object 29" hidden="1">
              <a:extLst>
                <a:ext uri="{63B3BB69-23CF-44E3-9099-C40C66FF867C}">
                  <a14:compatExt spid="_x0000_s38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BBE0E3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1171575</xdr:colOff>
          <xdr:row>60</xdr:row>
          <xdr:rowOff>114300</xdr:rowOff>
        </xdr:from>
        <xdr:to>
          <xdr:col>4</xdr:col>
          <xdr:colOff>962025</xdr:colOff>
          <xdr:row>64</xdr:row>
          <xdr:rowOff>47625</xdr:rowOff>
        </xdr:to>
        <xdr:sp macro="" textlink="">
          <xdr:nvSpPr>
            <xdr:cNvPr id="38942" name="Object 30" hidden="1">
              <a:extLst>
                <a:ext uri="{63B3BB69-23CF-44E3-9099-C40C66FF867C}">
                  <a14:compatExt spid="_x0000_s38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BBE0E3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171450</xdr:rowOff>
    </xdr:from>
    <xdr:to>
      <xdr:col>8</xdr:col>
      <xdr:colOff>552450</xdr:colOff>
      <xdr:row>4</xdr:row>
      <xdr:rowOff>171450</xdr:rowOff>
    </xdr:to>
    <xdr:sp macro="" textlink="">
      <xdr:nvSpPr>
        <xdr:cNvPr id="83969" name="Line 1"/>
        <xdr:cNvSpPr>
          <a:spLocks noChangeShapeType="1"/>
        </xdr:cNvSpPr>
      </xdr:nvSpPr>
      <xdr:spPr bwMode="auto">
        <a:xfrm>
          <a:off x="9525" y="971550"/>
          <a:ext cx="128682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1028700</xdr:colOff>
      <xdr:row>9</xdr:row>
      <xdr:rowOff>133350</xdr:rowOff>
    </xdr:from>
    <xdr:to>
      <xdr:col>8</xdr:col>
      <xdr:colOff>19050</xdr:colOff>
      <xdr:row>9</xdr:row>
      <xdr:rowOff>133350</xdr:rowOff>
    </xdr:to>
    <xdr:sp macro="" textlink="">
      <xdr:nvSpPr>
        <xdr:cNvPr id="83970" name="Line 2"/>
        <xdr:cNvSpPr>
          <a:spLocks noChangeShapeType="1"/>
        </xdr:cNvSpPr>
      </xdr:nvSpPr>
      <xdr:spPr bwMode="auto">
        <a:xfrm>
          <a:off x="504825" y="1905000"/>
          <a:ext cx="1188720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7</xdr:col>
      <xdr:colOff>582076</xdr:colOff>
      <xdr:row>0</xdr:row>
      <xdr:rowOff>0</xdr:rowOff>
    </xdr:from>
    <xdr:to>
      <xdr:col>8</xdr:col>
      <xdr:colOff>502678</xdr:colOff>
      <xdr:row>2</xdr:row>
      <xdr:rowOff>170392</xdr:rowOff>
    </xdr:to>
    <xdr:pic>
      <xdr:nvPicPr>
        <xdr:cNvPr id="8" name="7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6347" y="0"/>
          <a:ext cx="1825602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551392</xdr:colOff>
      <xdr:row>2</xdr:row>
      <xdr:rowOff>190361</xdr:rowOff>
    </xdr:to>
    <xdr:pic>
      <xdr:nvPicPr>
        <xdr:cNvPr id="9" name="8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171450</xdr:rowOff>
    </xdr:from>
    <xdr:to>
      <xdr:col>13</xdr:col>
      <xdr:colOff>552450</xdr:colOff>
      <xdr:row>3</xdr:row>
      <xdr:rowOff>171450</xdr:rowOff>
    </xdr:to>
    <xdr:sp macro="" textlink="">
      <xdr:nvSpPr>
        <xdr:cNvPr id="2" name="Line 12"/>
        <xdr:cNvSpPr>
          <a:spLocks noChangeShapeType="1"/>
        </xdr:cNvSpPr>
      </xdr:nvSpPr>
      <xdr:spPr bwMode="auto">
        <a:xfrm>
          <a:off x="9525" y="1009650"/>
          <a:ext cx="150399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1028700</xdr:colOff>
      <xdr:row>8</xdr:row>
      <xdr:rowOff>133350</xdr:rowOff>
    </xdr:from>
    <xdr:to>
      <xdr:col>13</xdr:col>
      <xdr:colOff>19050</xdr:colOff>
      <xdr:row>8</xdr:row>
      <xdr:rowOff>133350</xdr:rowOff>
    </xdr:to>
    <xdr:sp macro="" textlink="">
      <xdr:nvSpPr>
        <xdr:cNvPr id="3" name="Line 13"/>
        <xdr:cNvSpPr>
          <a:spLocks noChangeShapeType="1"/>
        </xdr:cNvSpPr>
      </xdr:nvSpPr>
      <xdr:spPr bwMode="auto">
        <a:xfrm>
          <a:off x="342900" y="1924050"/>
          <a:ext cx="1438275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10</xdr:col>
      <xdr:colOff>745656</xdr:colOff>
      <xdr:row>0</xdr:row>
      <xdr:rowOff>40821</xdr:rowOff>
    </xdr:from>
    <xdr:to>
      <xdr:col>13</xdr:col>
      <xdr:colOff>15294</xdr:colOff>
      <xdr:row>2</xdr:row>
      <xdr:rowOff>190500</xdr:rowOff>
    </xdr:to>
    <xdr:pic>
      <xdr:nvPicPr>
        <xdr:cNvPr id="4" name="12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94731" y="40821"/>
          <a:ext cx="2327163" cy="664029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0</xdr:row>
      <xdr:rowOff>40821</xdr:rowOff>
    </xdr:from>
    <xdr:to>
      <xdr:col>2</xdr:col>
      <xdr:colOff>771072</xdr:colOff>
      <xdr:row>2</xdr:row>
      <xdr:rowOff>216386</xdr:rowOff>
    </xdr:to>
    <xdr:pic>
      <xdr:nvPicPr>
        <xdr:cNvPr id="5" name="13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40821"/>
          <a:ext cx="1780722" cy="689915"/>
        </a:xfrm>
        <a:prstGeom prst="rect">
          <a:avLst/>
        </a:prstGeom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381000</xdr:colOff>
          <xdr:row>60</xdr:row>
          <xdr:rowOff>114300</xdr:rowOff>
        </xdr:from>
        <xdr:to>
          <xdr:col>10</xdr:col>
          <xdr:colOff>685800</xdr:colOff>
          <xdr:row>64</xdr:row>
          <xdr:rowOff>47625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BBE0E3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1171575</xdr:colOff>
          <xdr:row>60</xdr:row>
          <xdr:rowOff>114300</xdr:rowOff>
        </xdr:from>
        <xdr:to>
          <xdr:col>4</xdr:col>
          <xdr:colOff>962025</xdr:colOff>
          <xdr:row>64</xdr:row>
          <xdr:rowOff>47625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BBE0E3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19050</xdr:colOff>
      <xdr:row>9</xdr:row>
      <xdr:rowOff>130968</xdr:rowOff>
    </xdr:from>
    <xdr:to>
      <xdr:col>14</xdr:col>
      <xdr:colOff>46272</xdr:colOff>
      <xdr:row>52</xdr:row>
      <xdr:rowOff>152400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2" b="31372"/>
        <a:stretch/>
      </xdr:blipFill>
      <xdr:spPr>
        <a:xfrm>
          <a:off x="19050" y="2112168"/>
          <a:ext cx="15152922" cy="7641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7</xdr:col>
      <xdr:colOff>9525</xdr:colOff>
      <xdr:row>4</xdr:row>
      <xdr:rowOff>209550</xdr:rowOff>
    </xdr:to>
    <xdr:sp macro="" textlink="">
      <xdr:nvSpPr>
        <xdr:cNvPr id="3073" name="Line 1"/>
        <xdr:cNvSpPr>
          <a:spLocks noChangeShapeType="1"/>
        </xdr:cNvSpPr>
      </xdr:nvSpPr>
      <xdr:spPr bwMode="auto">
        <a:xfrm>
          <a:off x="0" y="1057275"/>
          <a:ext cx="84867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7</xdr:col>
      <xdr:colOff>0</xdr:colOff>
      <xdr:row>9</xdr:row>
      <xdr:rowOff>57150</xdr:rowOff>
    </xdr:to>
    <xdr:sp macro="" textlink="">
      <xdr:nvSpPr>
        <xdr:cNvPr id="3074" name="Line 2"/>
        <xdr:cNvSpPr>
          <a:spLocks noChangeShapeType="1"/>
        </xdr:cNvSpPr>
      </xdr:nvSpPr>
      <xdr:spPr bwMode="auto">
        <a:xfrm flipV="1">
          <a:off x="0" y="1876425"/>
          <a:ext cx="847725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217397</xdr:colOff>
      <xdr:row>0</xdr:row>
      <xdr:rowOff>11193</xdr:rowOff>
    </xdr:from>
    <xdr:to>
      <xdr:col>7</xdr:col>
      <xdr:colOff>27941</xdr:colOff>
      <xdr:row>2</xdr:row>
      <xdr:rowOff>189367</xdr:rowOff>
    </xdr:to>
    <xdr:pic>
      <xdr:nvPicPr>
        <xdr:cNvPr id="10" name="9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05603" y="11193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11193</xdr:rowOff>
    </xdr:from>
    <xdr:to>
      <xdr:col>1</xdr:col>
      <xdr:colOff>1080247</xdr:colOff>
      <xdr:row>2</xdr:row>
      <xdr:rowOff>209336</xdr:rowOff>
    </xdr:to>
    <xdr:pic>
      <xdr:nvPicPr>
        <xdr:cNvPr id="11" name="10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193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6</xdr:col>
      <xdr:colOff>9525</xdr:colOff>
      <xdr:row>4</xdr:row>
      <xdr:rowOff>209550</xdr:rowOff>
    </xdr:to>
    <xdr:sp macro="" textlink="">
      <xdr:nvSpPr>
        <xdr:cNvPr id="58369" name="Line 1"/>
        <xdr:cNvSpPr>
          <a:spLocks noChangeShapeType="1"/>
        </xdr:cNvSpPr>
      </xdr:nvSpPr>
      <xdr:spPr bwMode="auto">
        <a:xfrm>
          <a:off x="0" y="1028700"/>
          <a:ext cx="84867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6</xdr:col>
      <xdr:colOff>0</xdr:colOff>
      <xdr:row>9</xdr:row>
      <xdr:rowOff>57150</xdr:rowOff>
    </xdr:to>
    <xdr:sp macro="" textlink="">
      <xdr:nvSpPr>
        <xdr:cNvPr id="58370" name="Line 2"/>
        <xdr:cNvSpPr>
          <a:spLocks noChangeShapeType="1"/>
        </xdr:cNvSpPr>
      </xdr:nvSpPr>
      <xdr:spPr bwMode="auto">
        <a:xfrm flipV="1">
          <a:off x="0" y="1847850"/>
          <a:ext cx="847725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180967</xdr:colOff>
      <xdr:row>0</xdr:row>
      <xdr:rowOff>4</xdr:rowOff>
    </xdr:from>
    <xdr:to>
      <xdr:col>6</xdr:col>
      <xdr:colOff>8320</xdr:colOff>
      <xdr:row>2</xdr:row>
      <xdr:rowOff>157166</xdr:rowOff>
    </xdr:to>
    <xdr:pic>
      <xdr:nvPicPr>
        <xdr:cNvPr id="8" name="7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57967" y="4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4</xdr:rowOff>
    </xdr:from>
    <xdr:to>
      <xdr:col>2</xdr:col>
      <xdr:colOff>800100</xdr:colOff>
      <xdr:row>2</xdr:row>
      <xdr:rowOff>177134</xdr:rowOff>
    </xdr:to>
    <xdr:pic>
      <xdr:nvPicPr>
        <xdr:cNvPr id="9" name="8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"/>
          <a:ext cx="1371600" cy="53431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6</xdr:col>
      <xdr:colOff>9525</xdr:colOff>
      <xdr:row>4</xdr:row>
      <xdr:rowOff>209550</xdr:rowOff>
    </xdr:to>
    <xdr:sp macro="" textlink="">
      <xdr:nvSpPr>
        <xdr:cNvPr id="67585" name="Line 1"/>
        <xdr:cNvSpPr>
          <a:spLocks noChangeShapeType="1"/>
        </xdr:cNvSpPr>
      </xdr:nvSpPr>
      <xdr:spPr bwMode="auto">
        <a:xfrm>
          <a:off x="0" y="1028700"/>
          <a:ext cx="84867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6</xdr:col>
      <xdr:colOff>0</xdr:colOff>
      <xdr:row>9</xdr:row>
      <xdr:rowOff>57150</xdr:rowOff>
    </xdr:to>
    <xdr:sp macro="" textlink="">
      <xdr:nvSpPr>
        <xdr:cNvPr id="67586" name="Line 2"/>
        <xdr:cNvSpPr>
          <a:spLocks noChangeShapeType="1"/>
        </xdr:cNvSpPr>
      </xdr:nvSpPr>
      <xdr:spPr bwMode="auto">
        <a:xfrm flipV="1">
          <a:off x="0" y="1847850"/>
          <a:ext cx="847725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180974</xdr:colOff>
      <xdr:row>0</xdr:row>
      <xdr:rowOff>0</xdr:rowOff>
    </xdr:from>
    <xdr:to>
      <xdr:col>6</xdr:col>
      <xdr:colOff>8327</xdr:colOff>
      <xdr:row>2</xdr:row>
      <xdr:rowOff>161925</xdr:rowOff>
    </xdr:to>
    <xdr:pic>
      <xdr:nvPicPr>
        <xdr:cNvPr id="9" name="8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57974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800100</xdr:colOff>
      <xdr:row>2</xdr:row>
      <xdr:rowOff>181894</xdr:rowOff>
    </xdr:to>
    <xdr:pic>
      <xdr:nvPicPr>
        <xdr:cNvPr id="10" name="9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209550</xdr:rowOff>
    </xdr:from>
    <xdr:to>
      <xdr:col>6</xdr:col>
      <xdr:colOff>9525</xdr:colOff>
      <xdr:row>4</xdr:row>
      <xdr:rowOff>209550</xdr:rowOff>
    </xdr:to>
    <xdr:sp macro="" textlink="">
      <xdr:nvSpPr>
        <xdr:cNvPr id="66561" name="Line 1"/>
        <xdr:cNvSpPr>
          <a:spLocks noChangeShapeType="1"/>
        </xdr:cNvSpPr>
      </xdr:nvSpPr>
      <xdr:spPr bwMode="auto">
        <a:xfrm>
          <a:off x="0" y="1028700"/>
          <a:ext cx="8486775" cy="0"/>
        </a:xfrm>
        <a:prstGeom prst="line">
          <a:avLst/>
        </a:prstGeom>
        <a:noFill/>
        <a:ln w="57150" cmpd="thickThin">
          <a:solidFill>
            <a:srgbClr val="007A37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57150</xdr:rowOff>
    </xdr:from>
    <xdr:to>
      <xdr:col>6</xdr:col>
      <xdr:colOff>0</xdr:colOff>
      <xdr:row>9</xdr:row>
      <xdr:rowOff>57150</xdr:rowOff>
    </xdr:to>
    <xdr:sp macro="" textlink="">
      <xdr:nvSpPr>
        <xdr:cNvPr id="66562" name="Line 2"/>
        <xdr:cNvSpPr>
          <a:spLocks noChangeShapeType="1"/>
        </xdr:cNvSpPr>
      </xdr:nvSpPr>
      <xdr:spPr bwMode="auto">
        <a:xfrm flipV="1">
          <a:off x="0" y="1847850"/>
          <a:ext cx="8477250" cy="0"/>
        </a:xfrm>
        <a:prstGeom prst="line">
          <a:avLst/>
        </a:prstGeom>
        <a:noFill/>
        <a:ln w="19050">
          <a:solidFill>
            <a:srgbClr val="007A37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190500</xdr:colOff>
      <xdr:row>0</xdr:row>
      <xdr:rowOff>0</xdr:rowOff>
    </xdr:from>
    <xdr:to>
      <xdr:col>6</xdr:col>
      <xdr:colOff>17853</xdr:colOff>
      <xdr:row>2</xdr:row>
      <xdr:rowOff>161925</xdr:rowOff>
    </xdr:to>
    <xdr:pic>
      <xdr:nvPicPr>
        <xdr:cNvPr id="7" name="6 Imagen" descr="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0" y="0"/>
          <a:ext cx="1827603" cy="51435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0</xdr:row>
      <xdr:rowOff>0</xdr:rowOff>
    </xdr:from>
    <xdr:to>
      <xdr:col>2</xdr:col>
      <xdr:colOff>800101</xdr:colOff>
      <xdr:row>2</xdr:row>
      <xdr:rowOff>181894</xdr:rowOff>
    </xdr:to>
    <xdr:pic>
      <xdr:nvPicPr>
        <xdr:cNvPr id="8" name="7 Imagen" descr="logo completo sgobedo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0"/>
          <a:ext cx="1371600" cy="534319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rturo1/Configuraci&#243;n%20local/Archivos%20temporales%20de%20Internet/Content.IE5/B1M5SWB3/ESTADOS%20FINANCIEROS%20DE%20ENE-FEB%20DE%202010%20US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rturos/Configuraci&#243;n%20local/Archivos%20temporales%20de%20Internet/Content.IE5/C7NXBHQM/ESTADOS%20FINANCIER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DE SIT FIN"/>
      <sheetName val="EDO DE ING Y EGR ACUM"/>
      <sheetName val="EDO DE ORG Y APL ACUM"/>
      <sheetName val="BZA DE COMP"/>
    </sheetNames>
    <sheetDataSet>
      <sheetData sheetId="0">
        <row r="34">
          <cell r="J34">
            <v>668232637</v>
          </cell>
        </row>
        <row r="38">
          <cell r="H38" t="str">
            <v>RESULTADO DEL EJERCICIO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DE SIT FIN"/>
      <sheetName val="EDO DE ING Y EGR ACUM"/>
      <sheetName val="EDO DE ORG Y APL ACUM"/>
      <sheetName val="BZA DE COMP"/>
    </sheetNames>
    <sheetDataSet>
      <sheetData sheetId="0"/>
      <sheetData sheetId="1"/>
      <sheetData sheetId="2"/>
      <sheetData sheetId="3">
        <row r="25">
          <cell r="H25">
            <v>0</v>
          </cell>
        </row>
        <row r="54">
          <cell r="H5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Hoja_de_c_lculo_de_Microsoft_Excel_97-20032.xls"/><Relationship Id="rId5" Type="http://schemas.openxmlformats.org/officeDocument/2006/relationships/image" Target="../media/image3.emf"/><Relationship Id="rId4" Type="http://schemas.openxmlformats.org/officeDocument/2006/relationships/oleObject" Target="../embeddings/Hoja_de_c_lculo_de_Microsoft_Excel_97-20031.xls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Hoja_de_c_lculo_de_Microsoft_Excel_97-20034.xls"/><Relationship Id="rId5" Type="http://schemas.openxmlformats.org/officeDocument/2006/relationships/image" Target="../media/image5.emf"/><Relationship Id="rId4" Type="http://schemas.openxmlformats.org/officeDocument/2006/relationships/oleObject" Target="../embeddings/Hoja_de_c_lculo_de_Microsoft_Excel_97-20033.xls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Hoja_de_c_lculo_de_Microsoft_Excel_97-20036.xls"/><Relationship Id="rId5" Type="http://schemas.openxmlformats.org/officeDocument/2006/relationships/image" Target="../media/image5.emf"/><Relationship Id="rId4" Type="http://schemas.openxmlformats.org/officeDocument/2006/relationships/oleObject" Target="../embeddings/Hoja_de_c_lculo_de_Microsoft_Excel_97-20035.xls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26"/>
  <sheetViews>
    <sheetView view="pageBreakPreview" topLeftCell="A7" zoomScale="90" zoomScaleSheetLayoutView="90" workbookViewId="0">
      <selection activeCell="B20" sqref="B20"/>
    </sheetView>
  </sheetViews>
  <sheetFormatPr baseColWidth="10" defaultRowHeight="12.75" x14ac:dyDescent="0.2"/>
  <cols>
    <col min="1" max="1" width="4.28515625" style="315" customWidth="1"/>
    <col min="2" max="2" width="101.28515625" style="315" customWidth="1"/>
    <col min="3" max="3" width="4.28515625" style="315" customWidth="1"/>
    <col min="4" max="4" width="11.85546875" style="315" bestFit="1" customWidth="1"/>
    <col min="5" max="5" width="13" style="315" customWidth="1"/>
    <col min="6" max="16384" width="11.42578125" style="315"/>
  </cols>
  <sheetData>
    <row r="1" spans="1:5" ht="7.5" customHeight="1" x14ac:dyDescent="0.2"/>
    <row r="2" spans="1:5" ht="7.5" customHeight="1" x14ac:dyDescent="0.2"/>
    <row r="3" spans="1:5" ht="27" customHeight="1" x14ac:dyDescent="0.2">
      <c r="A3" s="614" t="s">
        <v>0</v>
      </c>
      <c r="B3" s="614"/>
      <c r="C3" s="614"/>
    </row>
    <row r="4" spans="1:5" ht="27" customHeight="1" x14ac:dyDescent="0.2">
      <c r="A4" s="615" t="s">
        <v>106</v>
      </c>
      <c r="B4" s="615"/>
      <c r="C4" s="615"/>
    </row>
    <row r="5" spans="1:5" ht="15" customHeight="1" x14ac:dyDescent="0.25">
      <c r="A5" s="316"/>
      <c r="B5" s="316"/>
      <c r="C5" s="316"/>
    </row>
    <row r="6" spans="1:5" ht="15" customHeight="1" x14ac:dyDescent="0.25">
      <c r="A6" s="316"/>
      <c r="B6" s="316"/>
      <c r="C6" s="316"/>
    </row>
    <row r="7" spans="1:5" ht="19.5" x14ac:dyDescent="0.3">
      <c r="A7" s="616" t="s">
        <v>95</v>
      </c>
      <c r="B7" s="616"/>
      <c r="C7" s="616"/>
    </row>
    <row r="8" spans="1:5" ht="15" customHeight="1" x14ac:dyDescent="0.25">
      <c r="A8" s="617" t="s">
        <v>963</v>
      </c>
      <c r="B8" s="617"/>
      <c r="C8" s="617"/>
    </row>
    <row r="9" spans="1:5" ht="15" customHeight="1" x14ac:dyDescent="0.25">
      <c r="A9" s="618" t="s">
        <v>4</v>
      </c>
      <c r="B9" s="618"/>
      <c r="C9" s="618"/>
      <c r="E9" s="317"/>
    </row>
    <row r="10" spans="1:5" ht="15" customHeight="1" x14ac:dyDescent="0.2">
      <c r="A10" s="613"/>
      <c r="B10" s="613"/>
      <c r="C10" s="613"/>
      <c r="E10" s="317"/>
    </row>
    <row r="11" spans="1:5" s="312" customFormat="1" ht="28.5" customHeight="1" x14ac:dyDescent="0.2">
      <c r="A11" s="354"/>
      <c r="B11" s="317"/>
      <c r="C11" s="354"/>
      <c r="E11" s="317"/>
    </row>
    <row r="12" spans="1:5" s="312" customFormat="1" ht="28.5" customHeight="1" x14ac:dyDescent="0.2">
      <c r="A12" s="454"/>
      <c r="B12" s="317" t="s">
        <v>95</v>
      </c>
      <c r="C12" s="454"/>
      <c r="E12" s="317"/>
    </row>
    <row r="13" spans="1:5" s="312" customFormat="1" ht="28.5" customHeight="1" x14ac:dyDescent="0.2">
      <c r="A13" s="354"/>
      <c r="B13" s="317" t="s">
        <v>687</v>
      </c>
      <c r="C13" s="354"/>
      <c r="E13" s="317"/>
    </row>
    <row r="14" spans="1:5" s="312" customFormat="1" ht="28.5" customHeight="1" x14ac:dyDescent="0.2">
      <c r="A14" s="454"/>
      <c r="B14" s="317" t="s">
        <v>685</v>
      </c>
      <c r="C14" s="454"/>
      <c r="E14" s="317"/>
    </row>
    <row r="15" spans="1:5" s="312" customFormat="1" ht="28.5" customHeight="1" x14ac:dyDescent="0.2">
      <c r="A15" s="354"/>
      <c r="B15" s="317" t="s">
        <v>680</v>
      </c>
      <c r="C15" s="354"/>
      <c r="E15" s="317"/>
    </row>
    <row r="16" spans="1:5" s="312" customFormat="1" ht="28.5" customHeight="1" x14ac:dyDescent="0.2">
      <c r="A16" s="454"/>
      <c r="B16" s="317" t="s">
        <v>686</v>
      </c>
      <c r="C16" s="454"/>
      <c r="E16" s="317"/>
    </row>
    <row r="17" spans="1:5" s="312" customFormat="1" ht="28.5" customHeight="1" x14ac:dyDescent="0.2">
      <c r="A17" s="354"/>
      <c r="B17" s="317" t="s">
        <v>96</v>
      </c>
      <c r="C17" s="354"/>
      <c r="E17" s="317"/>
    </row>
    <row r="18" spans="1:5" s="312" customFormat="1" ht="28.5" customHeight="1" x14ac:dyDescent="0.2">
      <c r="A18" s="354"/>
      <c r="B18" s="317" t="s">
        <v>97</v>
      </c>
      <c r="C18" s="354"/>
      <c r="E18" s="317"/>
    </row>
    <row r="19" spans="1:5" s="312" customFormat="1" ht="28.5" customHeight="1" x14ac:dyDescent="0.2">
      <c r="A19" s="585"/>
      <c r="B19" s="317" t="s">
        <v>1003</v>
      </c>
      <c r="C19" s="585"/>
      <c r="E19" s="317"/>
    </row>
    <row r="20" spans="1:5" s="320" customFormat="1" ht="28.5" customHeight="1" x14ac:dyDescent="0.2">
      <c r="A20" s="318"/>
      <c r="B20" s="317" t="s">
        <v>47</v>
      </c>
      <c r="C20" s="319"/>
      <c r="E20" s="317"/>
    </row>
    <row r="21" spans="1:5" s="320" customFormat="1" ht="28.5" customHeight="1" x14ac:dyDescent="0.2">
      <c r="A21" s="318"/>
      <c r="B21" s="317" t="s">
        <v>663</v>
      </c>
      <c r="C21" s="319"/>
      <c r="E21" s="317"/>
    </row>
    <row r="22" spans="1:5" s="320" customFormat="1" ht="28.5" customHeight="1" x14ac:dyDescent="0.2">
      <c r="A22" s="318"/>
      <c r="B22" s="317" t="s">
        <v>99</v>
      </c>
      <c r="C22" s="319"/>
      <c r="E22" s="317"/>
    </row>
    <row r="23" spans="1:5" s="320" customFormat="1" ht="28.5" customHeight="1" x14ac:dyDescent="0.2">
      <c r="A23" s="318"/>
      <c r="B23" s="317" t="s">
        <v>98</v>
      </c>
      <c r="C23" s="319"/>
      <c r="E23" s="317"/>
    </row>
    <row r="24" spans="1:5" s="320" customFormat="1" ht="28.5" customHeight="1" x14ac:dyDescent="0.2">
      <c r="A24" s="318"/>
      <c r="B24" s="317" t="s">
        <v>669</v>
      </c>
      <c r="C24" s="319"/>
      <c r="E24" s="282"/>
    </row>
    <row r="25" spans="1:5" s="323" customFormat="1" ht="28.5" customHeight="1" x14ac:dyDescent="0.2">
      <c r="A25" s="321"/>
      <c r="B25" s="317" t="s">
        <v>89</v>
      </c>
      <c r="C25" s="322"/>
      <c r="E25" s="282"/>
    </row>
    <row r="26" spans="1:5" s="320" customFormat="1" ht="28.5" customHeight="1" x14ac:dyDescent="0.2">
      <c r="A26" s="318"/>
      <c r="B26" s="317" t="s">
        <v>670</v>
      </c>
      <c r="C26" s="319"/>
      <c r="E26" s="282"/>
    </row>
    <row r="27" spans="1:5" s="320" customFormat="1" ht="28.5" customHeight="1" x14ac:dyDescent="0.2">
      <c r="A27" s="318"/>
      <c r="B27" s="317" t="s">
        <v>671</v>
      </c>
      <c r="C27" s="319"/>
      <c r="E27" s="282"/>
    </row>
    <row r="28" spans="1:5" s="323" customFormat="1" ht="28.5" customHeight="1" x14ac:dyDescent="0.2">
      <c r="A28" s="321"/>
      <c r="B28" s="282" t="s">
        <v>367</v>
      </c>
      <c r="C28" s="322"/>
      <c r="E28" s="282"/>
    </row>
    <row r="29" spans="1:5" s="323" customFormat="1" ht="28.5" customHeight="1" x14ac:dyDescent="0.2">
      <c r="A29" s="321"/>
      <c r="B29" s="282" t="s">
        <v>682</v>
      </c>
      <c r="C29" s="322"/>
      <c r="E29" s="282"/>
    </row>
    <row r="30" spans="1:5" s="323" customFormat="1" ht="28.5" customHeight="1" x14ac:dyDescent="0.2">
      <c r="A30" s="321"/>
      <c r="B30" s="282" t="s">
        <v>678</v>
      </c>
      <c r="C30" s="322"/>
      <c r="E30" s="282"/>
    </row>
    <row r="31" spans="1:5" s="323" customFormat="1" ht="28.5" customHeight="1" x14ac:dyDescent="0.2">
      <c r="A31" s="321"/>
      <c r="B31" s="282" t="s">
        <v>368</v>
      </c>
      <c r="C31" s="322"/>
      <c r="E31" s="282"/>
    </row>
    <row r="32" spans="1:5" s="323" customFormat="1" ht="28.5" customHeight="1" x14ac:dyDescent="0.2">
      <c r="A32" s="321"/>
      <c r="B32" s="282" t="s">
        <v>683</v>
      </c>
      <c r="C32" s="322"/>
      <c r="E32" s="282"/>
    </row>
    <row r="33" spans="1:5" s="312" customFormat="1" ht="28.5" customHeight="1" x14ac:dyDescent="0.2">
      <c r="A33" s="313"/>
      <c r="B33" s="282" t="s">
        <v>679</v>
      </c>
      <c r="C33" s="314"/>
      <c r="E33" s="282"/>
    </row>
    <row r="34" spans="1:5" s="312" customFormat="1" ht="28.5" customHeight="1" x14ac:dyDescent="0.2">
      <c r="A34" s="313"/>
      <c r="B34" s="282" t="s">
        <v>85</v>
      </c>
      <c r="C34" s="314"/>
      <c r="E34" s="282"/>
    </row>
    <row r="35" spans="1:5" s="312" customFormat="1" ht="28.5" customHeight="1" x14ac:dyDescent="0.2">
      <c r="A35" s="313"/>
      <c r="B35" s="282" t="s">
        <v>673</v>
      </c>
      <c r="C35" s="314"/>
      <c r="E35" s="282"/>
    </row>
    <row r="36" spans="1:5" s="312" customFormat="1" ht="28.5" customHeight="1" x14ac:dyDescent="0.2">
      <c r="A36" s="313"/>
      <c r="B36" s="282" t="s">
        <v>672</v>
      </c>
      <c r="C36" s="314"/>
      <c r="E36" s="282"/>
    </row>
    <row r="37" spans="1:5" s="323" customFormat="1" ht="28.5" customHeight="1" x14ac:dyDescent="0.2">
      <c r="A37" s="321"/>
      <c r="B37" s="282" t="s">
        <v>81</v>
      </c>
      <c r="C37" s="322"/>
      <c r="E37" s="282"/>
    </row>
    <row r="38" spans="1:5" s="312" customFormat="1" ht="28.5" customHeight="1" x14ac:dyDescent="0.2">
      <c r="A38" s="313"/>
      <c r="B38" s="282" t="s">
        <v>91</v>
      </c>
      <c r="C38" s="314"/>
    </row>
    <row r="39" spans="1:5" s="312" customFormat="1" ht="28.5" customHeight="1" x14ac:dyDescent="0.2">
      <c r="A39" s="313"/>
      <c r="B39" s="282" t="s">
        <v>100</v>
      </c>
      <c r="C39" s="314"/>
    </row>
    <row r="40" spans="1:5" s="312" customFormat="1" ht="28.5" customHeight="1" x14ac:dyDescent="0.2">
      <c r="A40" s="313"/>
      <c r="B40" s="282" t="s">
        <v>101</v>
      </c>
      <c r="C40" s="314"/>
    </row>
    <row r="41" spans="1:5" s="312" customFormat="1" ht="28.5" customHeight="1" x14ac:dyDescent="0.2">
      <c r="A41" s="313"/>
      <c r="B41" s="282"/>
      <c r="C41" s="314"/>
    </row>
    <row r="42" spans="1:5" s="312" customFormat="1" ht="28.5" customHeight="1" x14ac:dyDescent="0.2">
      <c r="A42" s="313"/>
      <c r="B42" s="282"/>
      <c r="C42" s="314"/>
    </row>
    <row r="43" spans="1:5" s="312" customFormat="1" ht="28.5" customHeight="1" x14ac:dyDescent="0.2">
      <c r="A43" s="313"/>
      <c r="B43" s="282"/>
      <c r="C43" s="314"/>
    </row>
    <row r="44" spans="1:5" s="312" customFormat="1" ht="28.5" customHeight="1" x14ac:dyDescent="0.2">
      <c r="A44" s="313"/>
      <c r="B44" s="282"/>
      <c r="C44" s="314"/>
    </row>
    <row r="45" spans="1:5" s="312" customFormat="1" ht="18.75" customHeight="1" x14ac:dyDescent="0.2">
      <c r="A45" s="313"/>
      <c r="C45" s="314"/>
    </row>
    <row r="46" spans="1:5" s="312" customFormat="1" ht="18.75" customHeight="1" x14ac:dyDescent="0.2">
      <c r="A46" s="313"/>
      <c r="C46" s="314"/>
    </row>
    <row r="47" spans="1:5" s="312" customFormat="1" ht="18.75" customHeight="1" x14ac:dyDescent="0.2">
      <c r="A47" s="313"/>
      <c r="C47" s="314"/>
      <c r="E47" s="282"/>
    </row>
    <row r="48" spans="1:5" s="312" customFormat="1" ht="18.75" customHeight="1" x14ac:dyDescent="0.2">
      <c r="A48" s="313"/>
      <c r="B48" s="181"/>
      <c r="C48" s="314"/>
      <c r="E48" s="282"/>
    </row>
    <row r="49" spans="1:5" s="312" customFormat="1" ht="18.75" customHeight="1" x14ac:dyDescent="0.2">
      <c r="A49" s="313"/>
      <c r="B49" s="181"/>
      <c r="C49" s="314"/>
    </row>
    <row r="50" spans="1:5" s="312" customFormat="1" ht="18.75" customHeight="1" x14ac:dyDescent="0.2">
      <c r="A50" s="313"/>
      <c r="B50" s="181"/>
      <c r="C50" s="314"/>
    </row>
    <row r="51" spans="1:5" s="312" customFormat="1" ht="18.75" customHeight="1" x14ac:dyDescent="0.2">
      <c r="A51" s="313"/>
      <c r="B51" s="181"/>
      <c r="C51" s="314"/>
    </row>
    <row r="52" spans="1:5" s="312" customFormat="1" ht="18.75" customHeight="1" x14ac:dyDescent="0.2">
      <c r="A52" s="313"/>
      <c r="B52" s="181"/>
      <c r="C52" s="314"/>
      <c r="E52" s="181"/>
    </row>
    <row r="53" spans="1:5" s="312" customFormat="1" ht="18.75" customHeight="1" x14ac:dyDescent="0.2">
      <c r="A53" s="313"/>
      <c r="B53" s="181"/>
      <c r="C53" s="314"/>
      <c r="E53" s="181"/>
    </row>
    <row r="54" spans="1:5" s="312" customFormat="1" ht="18.75" customHeight="1" x14ac:dyDescent="0.2">
      <c r="A54" s="313"/>
      <c r="B54" s="181"/>
      <c r="C54" s="314"/>
      <c r="E54" s="181"/>
    </row>
    <row r="55" spans="1:5" s="312" customFormat="1" ht="18.75" customHeight="1" x14ac:dyDescent="0.2">
      <c r="A55" s="313"/>
      <c r="B55" s="181"/>
      <c r="C55" s="314"/>
    </row>
    <row r="56" spans="1:5" s="312" customFormat="1" ht="18.75" customHeight="1" x14ac:dyDescent="0.2">
      <c r="A56" s="313"/>
      <c r="B56" s="181"/>
      <c r="C56" s="314"/>
    </row>
    <row r="57" spans="1:5" s="312" customFormat="1" ht="18.75" customHeight="1" x14ac:dyDescent="0.2">
      <c r="A57" s="313"/>
      <c r="B57" s="181"/>
      <c r="C57" s="314"/>
    </row>
    <row r="58" spans="1:5" s="312" customFormat="1" ht="18.75" customHeight="1" x14ac:dyDescent="0.2">
      <c r="A58" s="313"/>
      <c r="B58" s="181"/>
      <c r="C58" s="314"/>
    </row>
    <row r="59" spans="1:5" s="312" customFormat="1" ht="18.75" customHeight="1" x14ac:dyDescent="0.2">
      <c r="A59" s="313"/>
      <c r="B59" s="181"/>
      <c r="C59" s="314"/>
    </row>
    <row r="60" spans="1:5" s="312" customFormat="1" ht="18.75" hidden="1" customHeight="1" x14ac:dyDescent="0.2">
      <c r="A60" s="313"/>
      <c r="B60" s="180"/>
      <c r="C60" s="314"/>
    </row>
    <row r="61" spans="1:5" s="312" customFormat="1" ht="18.75" customHeight="1" x14ac:dyDescent="0.2">
      <c r="A61" s="313"/>
      <c r="B61" s="180"/>
      <c r="C61" s="314"/>
    </row>
    <row r="62" spans="1:5" s="312" customFormat="1" ht="18.75" customHeight="1" x14ac:dyDescent="0.2">
      <c r="A62" s="313"/>
      <c r="B62" s="180"/>
      <c r="C62" s="314"/>
    </row>
    <row r="63" spans="1:5" s="312" customFormat="1" ht="18.75" customHeight="1" x14ac:dyDescent="0.2">
      <c r="A63" s="313"/>
      <c r="B63" s="180"/>
      <c r="C63" s="314"/>
    </row>
    <row r="64" spans="1:5" s="312" customFormat="1" ht="18.75" customHeight="1" x14ac:dyDescent="0.2">
      <c r="A64" s="313"/>
      <c r="B64" s="180"/>
      <c r="C64" s="314"/>
    </row>
    <row r="65" spans="1:3" s="312" customFormat="1" ht="18.75" customHeight="1" x14ac:dyDescent="0.2">
      <c r="A65" s="313"/>
      <c r="B65" s="180"/>
      <c r="C65" s="314"/>
    </row>
    <row r="66" spans="1:3" s="312" customFormat="1" ht="18.75" customHeight="1" x14ac:dyDescent="0.2">
      <c r="A66" s="313"/>
      <c r="B66" s="180"/>
      <c r="C66" s="314"/>
    </row>
    <row r="67" spans="1:3" s="312" customFormat="1" ht="18.75" customHeight="1" x14ac:dyDescent="0.2">
      <c r="A67" s="313"/>
      <c r="B67" s="180"/>
      <c r="C67" s="314"/>
    </row>
    <row r="68" spans="1:3" s="312" customFormat="1" ht="18.75" customHeight="1" x14ac:dyDescent="0.2">
      <c r="A68" s="313"/>
      <c r="B68" s="180"/>
      <c r="C68" s="314"/>
    </row>
    <row r="69" spans="1:3" s="312" customFormat="1" ht="18.75" customHeight="1" x14ac:dyDescent="0.2">
      <c r="A69" s="313"/>
      <c r="B69" s="180"/>
      <c r="C69" s="314"/>
    </row>
    <row r="70" spans="1:3" s="312" customFormat="1" ht="18.75" customHeight="1" x14ac:dyDescent="0.2">
      <c r="A70" s="313"/>
      <c r="B70" s="180"/>
      <c r="C70" s="314"/>
    </row>
    <row r="71" spans="1:3" s="312" customFormat="1" ht="18.75" customHeight="1" x14ac:dyDescent="0.2">
      <c r="A71" s="313"/>
      <c r="B71" s="180"/>
      <c r="C71" s="314"/>
    </row>
    <row r="72" spans="1:3" s="312" customFormat="1" ht="18.75" customHeight="1" x14ac:dyDescent="0.2">
      <c r="A72" s="313"/>
      <c r="B72" s="180"/>
      <c r="C72" s="314"/>
    </row>
    <row r="73" spans="1:3" s="310" customFormat="1" ht="18.75" customHeight="1" x14ac:dyDescent="0.25">
      <c r="A73" s="324"/>
      <c r="B73" s="180"/>
      <c r="C73" s="325"/>
    </row>
    <row r="74" spans="1:3" s="312" customFormat="1" ht="18.75" customHeight="1" x14ac:dyDescent="0.2">
      <c r="A74" s="326"/>
      <c r="B74" s="180"/>
      <c r="C74" s="326"/>
    </row>
    <row r="75" spans="1:3" s="310" customFormat="1" ht="16.5" customHeight="1" x14ac:dyDescent="0.2">
      <c r="A75" s="327"/>
      <c r="B75" s="180"/>
      <c r="C75" s="328"/>
    </row>
    <row r="76" spans="1:3" ht="15.75" x14ac:dyDescent="0.25">
      <c r="A76" s="329"/>
      <c r="B76" s="325"/>
      <c r="C76" s="329"/>
    </row>
    <row r="77" spans="1:3" ht="15" x14ac:dyDescent="0.2">
      <c r="A77" s="329"/>
      <c r="B77" s="326"/>
      <c r="C77" s="329"/>
    </row>
    <row r="78" spans="1:3" ht="15" x14ac:dyDescent="0.2">
      <c r="A78" s="329"/>
      <c r="B78" s="311"/>
      <c r="C78" s="329"/>
    </row>
    <row r="79" spans="1:3" x14ac:dyDescent="0.2">
      <c r="A79" s="329"/>
      <c r="B79" s="329"/>
      <c r="C79" s="329"/>
    </row>
    <row r="80" spans="1:3" ht="15" x14ac:dyDescent="0.2">
      <c r="A80" s="329"/>
      <c r="B80" s="26"/>
      <c r="C80" s="329"/>
    </row>
    <row r="81" spans="1:3" x14ac:dyDescent="0.2">
      <c r="A81" s="329"/>
      <c r="B81" s="329"/>
      <c r="C81" s="329"/>
    </row>
    <row r="82" spans="1:3" x14ac:dyDescent="0.2">
      <c r="A82" s="329"/>
      <c r="B82" s="329"/>
      <c r="C82" s="329"/>
    </row>
    <row r="83" spans="1:3" x14ac:dyDescent="0.2">
      <c r="A83" s="329"/>
      <c r="B83" s="330"/>
      <c r="C83" s="329"/>
    </row>
    <row r="84" spans="1:3" x14ac:dyDescent="0.2">
      <c r="A84" s="329"/>
      <c r="B84" s="329"/>
      <c r="C84" s="329"/>
    </row>
    <row r="85" spans="1:3" x14ac:dyDescent="0.2">
      <c r="A85" s="329"/>
      <c r="B85" s="329"/>
      <c r="C85" s="329"/>
    </row>
    <row r="86" spans="1:3" x14ac:dyDescent="0.2">
      <c r="A86" s="329"/>
      <c r="B86" s="330"/>
      <c r="C86" s="329"/>
    </row>
    <row r="87" spans="1:3" x14ac:dyDescent="0.2">
      <c r="A87" s="329"/>
      <c r="B87" s="329"/>
      <c r="C87" s="329"/>
    </row>
    <row r="88" spans="1:3" x14ac:dyDescent="0.2">
      <c r="A88" s="329"/>
      <c r="B88" s="329"/>
      <c r="C88" s="329"/>
    </row>
    <row r="89" spans="1:3" x14ac:dyDescent="0.2">
      <c r="A89" s="329"/>
      <c r="B89" s="329"/>
      <c r="C89" s="329"/>
    </row>
    <row r="90" spans="1:3" x14ac:dyDescent="0.2">
      <c r="A90" s="329"/>
      <c r="B90" s="329"/>
      <c r="C90" s="329"/>
    </row>
    <row r="91" spans="1:3" x14ac:dyDescent="0.2">
      <c r="A91" s="329"/>
      <c r="B91" s="329"/>
      <c r="C91" s="329"/>
    </row>
    <row r="92" spans="1:3" x14ac:dyDescent="0.2">
      <c r="A92" s="329"/>
      <c r="B92" s="329"/>
      <c r="C92" s="329"/>
    </row>
    <row r="93" spans="1:3" x14ac:dyDescent="0.2">
      <c r="A93" s="329"/>
      <c r="B93" s="329"/>
      <c r="C93" s="329"/>
    </row>
    <row r="94" spans="1:3" x14ac:dyDescent="0.2">
      <c r="A94" s="329"/>
      <c r="B94" s="329"/>
      <c r="C94" s="329"/>
    </row>
    <row r="95" spans="1:3" x14ac:dyDescent="0.2">
      <c r="A95" s="329"/>
      <c r="B95" s="329"/>
      <c r="C95" s="329"/>
    </row>
    <row r="96" spans="1:3" x14ac:dyDescent="0.2">
      <c r="A96" s="329"/>
      <c r="B96" s="329"/>
      <c r="C96" s="329"/>
    </row>
    <row r="97" spans="1:4" x14ac:dyDescent="0.2">
      <c r="A97" s="329"/>
      <c r="B97" s="329"/>
      <c r="C97" s="329"/>
    </row>
    <row r="98" spans="1:4" x14ac:dyDescent="0.2">
      <c r="A98" s="329"/>
      <c r="B98" s="329"/>
      <c r="C98" s="329"/>
    </row>
    <row r="99" spans="1:4" x14ac:dyDescent="0.2">
      <c r="A99" s="329"/>
      <c r="B99" s="329"/>
      <c r="C99" s="329"/>
    </row>
    <row r="100" spans="1:4" x14ac:dyDescent="0.2">
      <c r="A100" s="329"/>
      <c r="B100" s="329"/>
      <c r="C100" s="329"/>
    </row>
    <row r="101" spans="1:4" x14ac:dyDescent="0.2">
      <c r="A101" s="329"/>
      <c r="B101" s="329"/>
      <c r="C101" s="329"/>
    </row>
    <row r="102" spans="1:4" x14ac:dyDescent="0.2">
      <c r="A102" s="329"/>
      <c r="B102" s="329"/>
      <c r="C102" s="329"/>
    </row>
    <row r="103" spans="1:4" x14ac:dyDescent="0.2">
      <c r="A103" s="329"/>
      <c r="B103" s="329"/>
      <c r="C103" s="329"/>
    </row>
    <row r="104" spans="1:4" x14ac:dyDescent="0.2">
      <c r="A104" s="329"/>
      <c r="B104" s="329"/>
      <c r="C104" s="329"/>
    </row>
    <row r="105" spans="1:4" x14ac:dyDescent="0.2">
      <c r="A105" s="329"/>
      <c r="B105" s="329"/>
      <c r="C105" s="329"/>
    </row>
    <row r="106" spans="1:4" x14ac:dyDescent="0.2">
      <c r="A106" s="329"/>
      <c r="B106" s="329"/>
      <c r="C106" s="329"/>
    </row>
    <row r="107" spans="1:4" x14ac:dyDescent="0.2">
      <c r="A107" s="331"/>
      <c r="B107" s="329"/>
      <c r="C107" s="331"/>
    </row>
    <row r="108" spans="1:4" s="332" customFormat="1" x14ac:dyDescent="0.2">
      <c r="A108" s="7"/>
      <c r="B108" s="329"/>
      <c r="C108" s="7"/>
    </row>
    <row r="109" spans="1:4" s="332" customFormat="1" x14ac:dyDescent="0.2">
      <c r="A109" s="9"/>
      <c r="B109" s="329"/>
      <c r="C109" s="9"/>
    </row>
    <row r="110" spans="1:4" s="332" customFormat="1" ht="15" x14ac:dyDescent="0.25">
      <c r="A110" s="12"/>
      <c r="B110" s="331"/>
      <c r="C110" s="12"/>
    </row>
    <row r="111" spans="1:4" s="334" customFormat="1" x14ac:dyDescent="0.2">
      <c r="A111" s="9"/>
      <c r="B111" s="7"/>
      <c r="C111" s="9"/>
      <c r="D111" s="333"/>
    </row>
    <row r="112" spans="1:4" s="332" customFormat="1" x14ac:dyDescent="0.2">
      <c r="A112" s="14"/>
      <c r="B112" s="9"/>
      <c r="C112" s="14"/>
    </row>
    <row r="113" spans="1:3" s="332" customFormat="1" ht="15" x14ac:dyDescent="0.25">
      <c r="A113" s="335"/>
      <c r="B113" s="12"/>
      <c r="C113" s="335"/>
    </row>
    <row r="114" spans="1:3" s="332" customFormat="1" x14ac:dyDescent="0.2">
      <c r="A114" s="335"/>
      <c r="B114" s="9"/>
      <c r="C114" s="335"/>
    </row>
    <row r="115" spans="1:3" x14ac:dyDescent="0.2">
      <c r="A115" s="331"/>
      <c r="B115" s="14"/>
      <c r="C115" s="331"/>
    </row>
    <row r="116" spans="1:3" x14ac:dyDescent="0.2">
      <c r="A116" s="331"/>
      <c r="B116" s="335"/>
      <c r="C116" s="331"/>
    </row>
    <row r="117" spans="1:3" x14ac:dyDescent="0.2">
      <c r="A117" s="331"/>
      <c r="B117" s="335"/>
      <c r="C117" s="331"/>
    </row>
    <row r="118" spans="1:3" x14ac:dyDescent="0.2">
      <c r="A118" s="331"/>
      <c r="B118" s="331"/>
      <c r="C118" s="331"/>
    </row>
    <row r="119" spans="1:3" x14ac:dyDescent="0.2">
      <c r="A119" s="331"/>
      <c r="B119" s="331"/>
      <c r="C119" s="331"/>
    </row>
    <row r="120" spans="1:3" x14ac:dyDescent="0.2">
      <c r="A120" s="331"/>
      <c r="B120" s="331"/>
      <c r="C120" s="331"/>
    </row>
    <row r="121" spans="1:3" x14ac:dyDescent="0.2">
      <c r="A121" s="331"/>
      <c r="B121" s="331"/>
      <c r="C121" s="331"/>
    </row>
    <row r="122" spans="1:3" x14ac:dyDescent="0.2">
      <c r="A122" s="331"/>
      <c r="B122" s="331"/>
      <c r="C122" s="331"/>
    </row>
    <row r="123" spans="1:3" x14ac:dyDescent="0.2">
      <c r="A123" s="331"/>
      <c r="B123" s="331"/>
      <c r="C123" s="331"/>
    </row>
    <row r="124" spans="1:3" x14ac:dyDescent="0.2">
      <c r="B124" s="331"/>
    </row>
    <row r="125" spans="1:3" x14ac:dyDescent="0.2">
      <c r="B125" s="331"/>
    </row>
    <row r="126" spans="1:3" x14ac:dyDescent="0.2">
      <c r="B126" s="331"/>
    </row>
  </sheetData>
  <mergeCells count="6">
    <mergeCell ref="A10:C10"/>
    <mergeCell ref="A3:C3"/>
    <mergeCell ref="A4:C4"/>
    <mergeCell ref="A7:C7"/>
    <mergeCell ref="A8:C8"/>
    <mergeCell ref="A9:C9"/>
  </mergeCells>
  <printOptions horizontalCentered="1" verticalCentered="1"/>
  <pageMargins left="0.78740157480314965" right="0.78740157480314965" top="0.74803149606299213" bottom="0.59055118110236227" header="0" footer="0"/>
  <pageSetup scale="69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10"/>
  <sheetViews>
    <sheetView topLeftCell="A46" workbookViewId="0">
      <selection activeCell="E19" sqref="E19"/>
    </sheetView>
  </sheetViews>
  <sheetFormatPr baseColWidth="10" defaultRowHeight="12.75" x14ac:dyDescent="0.2"/>
  <cols>
    <col min="1" max="2" width="4.28515625" customWidth="1"/>
    <col min="3" max="3" width="88.5703125" customWidth="1"/>
    <col min="4" max="4" width="4.28515625" customWidth="1"/>
    <col min="5" max="5" width="21.42578125" customWidth="1"/>
    <col min="6" max="6" width="4.28515625" customWidth="1"/>
    <col min="7" max="7" width="17.28515625" bestFit="1" customWidth="1"/>
    <col min="8" max="8" width="14.5703125" bestFit="1" customWidth="1"/>
    <col min="9" max="9" width="16" style="275" bestFit="1" customWidth="1"/>
    <col min="10" max="10" width="11.5703125" style="275" bestFit="1" customWidth="1"/>
  </cols>
  <sheetData>
    <row r="2" spans="1:10" ht="15" customHeight="1" x14ac:dyDescent="0.2"/>
    <row r="3" spans="1:10" ht="25.5" customHeight="1" x14ac:dyDescent="0.2">
      <c r="A3" s="634" t="s">
        <v>0</v>
      </c>
      <c r="B3" s="634"/>
      <c r="C3" s="634"/>
      <c r="D3" s="634"/>
      <c r="E3" s="634"/>
      <c r="F3" s="634"/>
    </row>
    <row r="4" spans="1:10" ht="25.5" customHeight="1" x14ac:dyDescent="0.2">
      <c r="A4" s="635" t="s">
        <v>106</v>
      </c>
      <c r="B4" s="635"/>
      <c r="C4" s="635"/>
      <c r="D4" s="635"/>
      <c r="E4" s="635"/>
      <c r="F4" s="635"/>
    </row>
    <row r="5" spans="1:10" ht="15" customHeight="1" x14ac:dyDescent="0.25">
      <c r="A5" s="2"/>
      <c r="B5" s="2"/>
      <c r="C5" s="2"/>
      <c r="D5" s="2"/>
      <c r="E5" s="2"/>
      <c r="F5" s="2"/>
    </row>
    <row r="6" spans="1:10" ht="15" customHeight="1" x14ac:dyDescent="0.25">
      <c r="A6" s="2"/>
      <c r="B6" s="2"/>
      <c r="C6" s="2"/>
      <c r="D6" s="2"/>
      <c r="E6" s="2"/>
      <c r="F6" s="2"/>
    </row>
    <row r="7" spans="1:10" ht="15" customHeight="1" x14ac:dyDescent="0.25">
      <c r="A7" s="638" t="s">
        <v>89</v>
      </c>
      <c r="B7" s="638"/>
      <c r="C7" s="638"/>
      <c r="D7" s="638"/>
      <c r="E7" s="638"/>
      <c r="F7" s="638"/>
    </row>
    <row r="8" spans="1:10" ht="15" customHeight="1" x14ac:dyDescent="0.25">
      <c r="A8" s="638" t="s">
        <v>957</v>
      </c>
      <c r="B8" s="638"/>
      <c r="C8" s="638"/>
      <c r="D8" s="638"/>
      <c r="E8" s="638"/>
      <c r="F8" s="638"/>
    </row>
    <row r="9" spans="1:10" ht="15" customHeight="1" x14ac:dyDescent="0.25">
      <c r="A9" s="638" t="s">
        <v>1</v>
      </c>
      <c r="B9" s="638"/>
      <c r="C9" s="638"/>
      <c r="D9" s="638"/>
      <c r="E9" s="638"/>
      <c r="F9" s="638"/>
    </row>
    <row r="10" spans="1:10" ht="15" customHeight="1" x14ac:dyDescent="0.2">
      <c r="A10" s="637"/>
      <c r="B10" s="637"/>
      <c r="C10" s="637"/>
      <c r="D10" s="637"/>
      <c r="E10" s="637"/>
      <c r="F10" s="637"/>
    </row>
    <row r="11" spans="1:10" ht="18.75" customHeight="1" x14ac:dyDescent="0.2">
      <c r="A11" s="3"/>
      <c r="B11" s="3"/>
      <c r="C11" s="3"/>
      <c r="D11" s="3"/>
      <c r="E11" s="3"/>
      <c r="F11" s="3"/>
    </row>
    <row r="12" spans="1:10" ht="18.75" customHeight="1" x14ac:dyDescent="0.2">
      <c r="A12" s="3"/>
      <c r="B12" s="3"/>
      <c r="C12" s="3"/>
      <c r="D12" s="3"/>
      <c r="E12" s="3"/>
      <c r="F12" s="3"/>
    </row>
    <row r="13" spans="1:10" ht="18.75" customHeight="1" x14ac:dyDescent="0.2">
      <c r="A13" s="5"/>
      <c r="C13" s="629" t="s">
        <v>43</v>
      </c>
      <c r="D13" s="5"/>
      <c r="E13" s="629" t="s">
        <v>5</v>
      </c>
      <c r="F13" s="4"/>
    </row>
    <row r="14" spans="1:10" ht="18.75" customHeight="1" x14ac:dyDescent="0.2">
      <c r="A14" s="5"/>
      <c r="B14" s="147"/>
      <c r="C14" s="629"/>
      <c r="D14" s="5"/>
      <c r="E14" s="629" t="s">
        <v>5</v>
      </c>
      <c r="F14" s="4"/>
    </row>
    <row r="15" spans="1:10" ht="18.75" customHeight="1" x14ac:dyDescent="0.2">
      <c r="A15" s="5"/>
      <c r="B15" s="147"/>
      <c r="C15" s="629"/>
      <c r="D15" s="5"/>
      <c r="E15" s="629"/>
      <c r="F15" s="4"/>
    </row>
    <row r="16" spans="1:10" s="19" customFormat="1" ht="18.75" customHeight="1" x14ac:dyDescent="0.2">
      <c r="A16" s="16"/>
      <c r="B16" s="16"/>
      <c r="C16" s="16"/>
      <c r="D16" s="16"/>
      <c r="E16" s="17"/>
      <c r="F16" s="18"/>
      <c r="I16" s="381"/>
      <c r="J16" s="381"/>
    </row>
    <row r="17" spans="1:10" s="19" customFormat="1" ht="18.75" customHeight="1" x14ac:dyDescent="0.25">
      <c r="A17" s="16"/>
      <c r="B17" s="16"/>
      <c r="C17" s="295" t="s">
        <v>896</v>
      </c>
      <c r="D17" s="219"/>
      <c r="E17" s="117">
        <v>4138300</v>
      </c>
      <c r="F17" s="18"/>
      <c r="G17" s="164"/>
      <c r="H17" s="514"/>
      <c r="I17" s="381">
        <f>+G17-H17</f>
        <v>0</v>
      </c>
      <c r="J17" s="381"/>
    </row>
    <row r="18" spans="1:10" s="19" customFormat="1" ht="18.75" customHeight="1" x14ac:dyDescent="0.25">
      <c r="A18" s="16"/>
      <c r="B18" s="16"/>
      <c r="C18" s="19" t="s">
        <v>897</v>
      </c>
      <c r="E18" s="117">
        <v>989324</v>
      </c>
      <c r="F18" s="218"/>
      <c r="G18" s="187"/>
      <c r="H18" s="164"/>
      <c r="I18" s="381"/>
      <c r="J18" s="381"/>
    </row>
    <row r="19" spans="1:10" s="19" customFormat="1" ht="18.75" customHeight="1" x14ac:dyDescent="0.2">
      <c r="A19" s="16"/>
      <c r="B19" s="16"/>
      <c r="C19" s="19" t="s">
        <v>943</v>
      </c>
      <c r="E19" s="117">
        <f>5280+44200</f>
        <v>49480</v>
      </c>
      <c r="F19" s="218"/>
      <c r="G19" s="164"/>
      <c r="H19" s="231"/>
      <c r="I19" s="381"/>
      <c r="J19" s="381"/>
    </row>
    <row r="20" spans="1:10" s="19" customFormat="1" ht="18.75" customHeight="1" x14ac:dyDescent="0.2">
      <c r="A20" s="16"/>
      <c r="B20" s="16"/>
      <c r="C20" s="295"/>
      <c r="D20" s="219"/>
      <c r="E20" s="117"/>
      <c r="F20" s="218"/>
      <c r="G20" s="164"/>
      <c r="H20" s="381"/>
      <c r="I20" s="381"/>
      <c r="J20" s="381"/>
    </row>
    <row r="21" spans="1:10" s="19" customFormat="1" ht="18.75" customHeight="1" x14ac:dyDescent="0.2">
      <c r="A21" s="16"/>
      <c r="B21" s="16"/>
      <c r="F21" s="218"/>
      <c r="G21" s="164"/>
      <c r="H21" s="231"/>
      <c r="I21" s="381"/>
      <c r="J21" s="381"/>
    </row>
    <row r="22" spans="1:10" s="19" customFormat="1" ht="18.75" customHeight="1" x14ac:dyDescent="0.2">
      <c r="A22" s="16"/>
      <c r="F22" s="218"/>
      <c r="G22" s="164"/>
      <c r="I22" s="381"/>
      <c r="J22" s="381"/>
    </row>
    <row r="23" spans="1:10" s="19" customFormat="1" ht="18.75" customHeight="1" x14ac:dyDescent="0.2">
      <c r="A23" s="16"/>
      <c r="F23" s="218"/>
      <c r="G23" s="164"/>
      <c r="I23" s="381"/>
      <c r="J23" s="381"/>
    </row>
    <row r="24" spans="1:10" s="19" customFormat="1" ht="18.75" customHeight="1" x14ac:dyDescent="0.2">
      <c r="A24" s="16"/>
      <c r="F24" s="218"/>
      <c r="G24" s="164"/>
      <c r="I24" s="381"/>
      <c r="J24" s="381"/>
    </row>
    <row r="25" spans="1:10" s="19" customFormat="1" ht="18.75" customHeight="1" x14ac:dyDescent="0.2">
      <c r="A25" s="16"/>
      <c r="F25" s="218"/>
      <c r="G25" s="24"/>
      <c r="I25" s="381"/>
      <c r="J25" s="381"/>
    </row>
    <row r="26" spans="1:10" s="19" customFormat="1" ht="18.75" customHeight="1" x14ac:dyDescent="0.2">
      <c r="A26" s="295"/>
      <c r="F26" s="298"/>
      <c r="G26" s="24"/>
      <c r="I26" s="381"/>
      <c r="J26" s="381"/>
    </row>
    <row r="27" spans="1:10" s="19" customFormat="1" ht="18.75" customHeight="1" x14ac:dyDescent="0.2">
      <c r="A27" s="295"/>
      <c r="F27" s="298"/>
      <c r="G27" s="24"/>
      <c r="I27" s="381"/>
      <c r="J27" s="381"/>
    </row>
    <row r="28" spans="1:10" s="19" customFormat="1" ht="18.75" customHeight="1" x14ac:dyDescent="0.2">
      <c r="A28" s="16"/>
      <c r="F28" s="218"/>
      <c r="G28" s="24"/>
      <c r="I28" s="381"/>
      <c r="J28" s="381"/>
    </row>
    <row r="29" spans="1:10" s="19" customFormat="1" ht="18.75" customHeight="1" x14ac:dyDescent="0.2">
      <c r="A29" s="16"/>
      <c r="C29" s="20"/>
      <c r="D29" s="20"/>
      <c r="E29" s="117"/>
      <c r="F29" s="18"/>
      <c r="I29" s="381"/>
      <c r="J29" s="381"/>
    </row>
    <row r="30" spans="1:10" s="19" customFormat="1" ht="18.75" customHeight="1" x14ac:dyDescent="0.2">
      <c r="A30" s="16"/>
      <c r="C30" s="20"/>
      <c r="D30" s="20"/>
      <c r="E30" s="117"/>
      <c r="F30" s="18"/>
      <c r="I30" s="381"/>
      <c r="J30" s="381"/>
    </row>
    <row r="31" spans="1:10" s="19" customFormat="1" ht="18.75" customHeight="1" x14ac:dyDescent="0.2">
      <c r="A31" s="16"/>
      <c r="C31" s="20"/>
      <c r="D31" s="20"/>
      <c r="E31" s="17"/>
      <c r="F31" s="18"/>
      <c r="I31" s="381"/>
      <c r="J31" s="381"/>
    </row>
    <row r="32" spans="1:10" s="19" customFormat="1" ht="18.75" customHeight="1" x14ac:dyDescent="0.2">
      <c r="A32" s="16"/>
      <c r="C32" s="20"/>
      <c r="D32" s="20"/>
      <c r="E32" s="17"/>
      <c r="F32" s="18"/>
      <c r="I32" s="381"/>
      <c r="J32" s="381"/>
    </row>
    <row r="33" spans="1:10" s="19" customFormat="1" ht="18.75" customHeight="1" x14ac:dyDescent="0.2">
      <c r="A33" s="16"/>
      <c r="C33" s="20"/>
      <c r="D33" s="20"/>
      <c r="E33" s="17"/>
      <c r="F33" s="18"/>
      <c r="I33" s="381"/>
      <c r="J33" s="381"/>
    </row>
    <row r="34" spans="1:10" s="19" customFormat="1" ht="18.75" customHeight="1" x14ac:dyDescent="0.2">
      <c r="A34" s="295"/>
      <c r="C34" s="20"/>
      <c r="D34" s="20"/>
      <c r="E34" s="17"/>
      <c r="F34" s="18"/>
      <c r="I34" s="381"/>
      <c r="J34" s="381"/>
    </row>
    <row r="35" spans="1:10" s="19" customFormat="1" ht="18.75" customHeight="1" x14ac:dyDescent="0.2">
      <c r="A35" s="295"/>
      <c r="C35" s="20"/>
      <c r="D35" s="20"/>
      <c r="E35" s="17"/>
      <c r="F35" s="18"/>
      <c r="I35" s="381"/>
      <c r="J35" s="381"/>
    </row>
    <row r="36" spans="1:10" s="19" customFormat="1" ht="18.75" customHeight="1" x14ac:dyDescent="0.2">
      <c r="A36" s="16"/>
      <c r="C36" s="20"/>
      <c r="D36" s="20"/>
      <c r="E36" s="17"/>
      <c r="F36" s="18"/>
      <c r="I36" s="381"/>
      <c r="J36" s="381"/>
    </row>
    <row r="37" spans="1:10" s="19" customFormat="1" ht="18.75" customHeight="1" x14ac:dyDescent="0.2">
      <c r="A37" s="16"/>
      <c r="C37" s="20"/>
      <c r="D37" s="20"/>
      <c r="E37" s="17"/>
      <c r="F37" s="18"/>
      <c r="I37" s="381"/>
      <c r="J37" s="381"/>
    </row>
    <row r="38" spans="1:10" s="19" customFormat="1" ht="18.75" customHeight="1" x14ac:dyDescent="0.2">
      <c r="A38" s="16"/>
      <c r="C38" s="20"/>
      <c r="D38" s="20"/>
      <c r="E38" s="17"/>
      <c r="F38" s="18"/>
      <c r="I38" s="381"/>
      <c r="J38" s="381"/>
    </row>
    <row r="39" spans="1:10" s="19" customFormat="1" ht="18.75" customHeight="1" x14ac:dyDescent="0.2">
      <c r="A39" s="16"/>
      <c r="C39" s="20"/>
      <c r="D39" s="20"/>
      <c r="E39" s="17"/>
      <c r="F39" s="18"/>
      <c r="I39" s="381"/>
      <c r="J39" s="381"/>
    </row>
    <row r="40" spans="1:10" s="19" customFormat="1" ht="18.75" customHeight="1" x14ac:dyDescent="0.2">
      <c r="A40" s="16"/>
      <c r="C40" s="20"/>
      <c r="D40" s="20"/>
      <c r="E40" s="17"/>
      <c r="F40" s="18"/>
      <c r="I40" s="381"/>
      <c r="J40" s="381"/>
    </row>
    <row r="41" spans="1:10" s="19" customFormat="1" ht="18.75" customHeight="1" x14ac:dyDescent="0.2">
      <c r="A41" s="16"/>
      <c r="C41" s="20"/>
      <c r="D41" s="20"/>
      <c r="E41" s="17"/>
      <c r="F41" s="18"/>
      <c r="I41" s="381"/>
      <c r="J41" s="381"/>
    </row>
    <row r="42" spans="1:10" s="19" customFormat="1" ht="18.75" customHeight="1" x14ac:dyDescent="0.2">
      <c r="A42" s="16"/>
      <c r="C42" s="20"/>
      <c r="D42" s="20"/>
      <c r="E42" s="17"/>
      <c r="F42" s="18"/>
      <c r="I42" s="381"/>
      <c r="J42" s="381"/>
    </row>
    <row r="43" spans="1:10" s="19" customFormat="1" ht="18.75" customHeight="1" x14ac:dyDescent="0.2">
      <c r="A43" s="16"/>
      <c r="C43" s="20"/>
      <c r="D43" s="20"/>
      <c r="E43" s="17"/>
      <c r="F43" s="18"/>
      <c r="I43" s="381"/>
      <c r="J43" s="381"/>
    </row>
    <row r="44" spans="1:10" s="19" customFormat="1" ht="18.75" customHeight="1" x14ac:dyDescent="0.2">
      <c r="A44" s="16"/>
      <c r="C44" s="20"/>
      <c r="D44" s="20"/>
      <c r="E44" s="17"/>
      <c r="F44" s="18"/>
      <c r="I44" s="381"/>
      <c r="J44" s="381"/>
    </row>
    <row r="45" spans="1:10" s="19" customFormat="1" ht="18.75" customHeight="1" x14ac:dyDescent="0.2">
      <c r="A45" s="16"/>
      <c r="B45" s="16"/>
      <c r="C45" s="16"/>
      <c r="D45" s="16"/>
      <c r="E45" s="17"/>
      <c r="F45" s="18"/>
      <c r="I45" s="381"/>
      <c r="J45" s="381"/>
    </row>
    <row r="46" spans="1:10" s="19" customFormat="1" ht="18.75" customHeight="1" x14ac:dyDescent="0.2">
      <c r="A46" s="16"/>
      <c r="B46" s="16"/>
      <c r="C46" s="16"/>
      <c r="D46" s="16"/>
      <c r="E46" s="17"/>
      <c r="F46" s="18"/>
      <c r="I46" s="381"/>
      <c r="J46" s="381"/>
    </row>
    <row r="47" spans="1:10" s="19" customFormat="1" ht="18.75" customHeight="1" x14ac:dyDescent="0.2">
      <c r="A47" s="16"/>
      <c r="B47" s="16"/>
      <c r="C47" s="16"/>
      <c r="D47" s="16"/>
      <c r="E47" s="17"/>
      <c r="F47" s="18"/>
      <c r="I47" s="381"/>
      <c r="J47" s="381"/>
    </row>
    <row r="48" spans="1:10" s="19" customFormat="1" ht="18.75" customHeight="1" x14ac:dyDescent="0.2">
      <c r="A48" s="16"/>
      <c r="B48" s="16"/>
      <c r="C48" s="16"/>
      <c r="D48" s="16"/>
      <c r="E48" s="17"/>
      <c r="F48" s="18"/>
      <c r="I48" s="381"/>
      <c r="J48" s="381"/>
    </row>
    <row r="49" spans="1:10" s="19" customFormat="1" ht="18.75" customHeight="1" x14ac:dyDescent="0.2">
      <c r="A49" s="16"/>
      <c r="B49" s="16"/>
      <c r="C49" s="16"/>
      <c r="D49" s="16"/>
      <c r="E49" s="17"/>
      <c r="F49" s="18"/>
      <c r="I49" s="381"/>
      <c r="J49" s="381"/>
    </row>
    <row r="50" spans="1:10" s="19" customFormat="1" ht="18.75" customHeight="1" x14ac:dyDescent="0.2">
      <c r="A50" s="16"/>
      <c r="B50" s="16"/>
      <c r="C50" s="16"/>
      <c r="D50" s="16"/>
      <c r="E50" s="17"/>
      <c r="F50" s="18"/>
      <c r="I50" s="381"/>
      <c r="J50" s="381"/>
    </row>
    <row r="51" spans="1:10" s="19" customFormat="1" ht="18.75" customHeight="1" x14ac:dyDescent="0.2">
      <c r="A51" s="16"/>
      <c r="B51" s="16"/>
      <c r="C51" s="16"/>
      <c r="D51" s="16"/>
      <c r="E51" s="17"/>
      <c r="F51" s="18"/>
      <c r="I51" s="381"/>
      <c r="J51" s="381"/>
    </row>
    <row r="52" spans="1:10" s="19" customFormat="1" ht="18.75" customHeight="1" x14ac:dyDescent="0.2">
      <c r="A52" s="16"/>
      <c r="B52" s="16"/>
      <c r="C52" s="16"/>
      <c r="D52" s="16"/>
      <c r="E52" s="17"/>
      <c r="F52" s="18"/>
      <c r="I52" s="381"/>
      <c r="J52" s="381"/>
    </row>
    <row r="53" spans="1:10" s="19" customFormat="1" ht="18.75" customHeight="1" x14ac:dyDescent="0.2">
      <c r="A53" s="16"/>
      <c r="B53" s="16"/>
      <c r="C53" s="16"/>
      <c r="D53" s="16"/>
      <c r="E53" s="17"/>
      <c r="F53" s="18"/>
      <c r="I53" s="381"/>
      <c r="J53" s="381"/>
    </row>
    <row r="54" spans="1:10" s="19" customFormat="1" ht="18.75" customHeight="1" x14ac:dyDescent="0.2">
      <c r="A54" s="16"/>
      <c r="B54" s="16"/>
      <c r="C54" s="16"/>
      <c r="D54" s="16"/>
      <c r="E54" s="17"/>
      <c r="F54" s="18"/>
      <c r="I54" s="381"/>
      <c r="J54" s="381"/>
    </row>
    <row r="55" spans="1:10" s="19" customFormat="1" ht="18.75" customHeight="1" x14ac:dyDescent="0.2">
      <c r="A55" s="16"/>
      <c r="B55" s="16"/>
      <c r="C55" s="16"/>
      <c r="D55" s="16"/>
      <c r="E55" s="17"/>
      <c r="F55" s="18"/>
      <c r="I55" s="381"/>
      <c r="J55" s="381"/>
    </row>
    <row r="56" spans="1:10" s="19" customFormat="1" ht="18.75" customHeight="1" x14ac:dyDescent="0.2">
      <c r="A56" s="16"/>
      <c r="B56" s="16"/>
      <c r="C56" s="16"/>
      <c r="D56" s="16"/>
      <c r="E56" s="17"/>
      <c r="F56" s="18"/>
      <c r="G56" s="381"/>
      <c r="I56" s="381"/>
      <c r="J56" s="381"/>
    </row>
    <row r="57" spans="1:10" s="19" customFormat="1" ht="18.75" hidden="1" customHeight="1" x14ac:dyDescent="0.2">
      <c r="A57" s="16"/>
      <c r="B57" s="16"/>
      <c r="C57" s="16"/>
      <c r="D57" s="16"/>
      <c r="E57" s="17"/>
      <c r="F57" s="18"/>
      <c r="G57" s="381"/>
      <c r="I57" s="381"/>
      <c r="J57" s="381"/>
    </row>
    <row r="58" spans="1:10" s="19" customFormat="1" ht="18.75" customHeight="1" x14ac:dyDescent="0.2">
      <c r="A58" s="16"/>
      <c r="B58" s="16"/>
      <c r="C58" s="16"/>
      <c r="D58" s="16"/>
      <c r="E58" s="17"/>
      <c r="F58" s="18"/>
      <c r="G58" s="381"/>
      <c r="I58" s="381"/>
      <c r="J58" s="381"/>
    </row>
    <row r="59" spans="1:10" s="19" customFormat="1" ht="18.75" customHeight="1" x14ac:dyDescent="0.2">
      <c r="A59" s="16"/>
      <c r="B59" s="16"/>
      <c r="C59" s="16"/>
      <c r="D59" s="16"/>
      <c r="E59" s="17"/>
      <c r="F59" s="18"/>
      <c r="G59" s="381"/>
      <c r="I59" s="381"/>
      <c r="J59" s="381"/>
    </row>
    <row r="60" spans="1:10" s="173" customFormat="1" ht="18.75" customHeight="1" x14ac:dyDescent="0.25">
      <c r="A60" s="21"/>
      <c r="B60" s="636" t="s">
        <v>82</v>
      </c>
      <c r="C60" s="636"/>
      <c r="D60" s="21"/>
      <c r="E60" s="347">
        <f>SUM(E16:E58)</f>
        <v>5177104</v>
      </c>
      <c r="F60" s="161"/>
      <c r="G60" s="386"/>
      <c r="H60" s="370"/>
      <c r="I60" s="386"/>
      <c r="J60" s="386"/>
    </row>
    <row r="61" spans="1:10" s="19" customFormat="1" ht="18.75" customHeight="1" x14ac:dyDescent="0.2">
      <c r="A61" s="22" t="s">
        <v>4</v>
      </c>
      <c r="B61" s="22"/>
      <c r="C61" s="22"/>
      <c r="D61" s="22"/>
      <c r="E61" s="22"/>
      <c r="F61" s="22"/>
      <c r="G61" s="381"/>
      <c r="H61" s="231"/>
      <c r="I61" s="381"/>
      <c r="J61" s="381"/>
    </row>
    <row r="62" spans="1:10" s="24" customFormat="1" ht="16.5" customHeight="1" x14ac:dyDescent="0.2">
      <c r="A62" s="23"/>
      <c r="B62" s="23"/>
      <c r="C62" s="23"/>
      <c r="D62" s="23"/>
      <c r="E62" s="176">
        <f>+'BZA DE COMP'!H40-ACREEDORES!E60</f>
        <v>0</v>
      </c>
      <c r="F62" s="25"/>
      <c r="G62" s="251"/>
      <c r="H62" s="251"/>
      <c r="I62" s="446"/>
      <c r="J62" s="446"/>
    </row>
    <row r="63" spans="1:10" x14ac:dyDescent="0.2">
      <c r="A63" s="6"/>
      <c r="B63" s="6"/>
      <c r="C63" s="6"/>
      <c r="D63" s="6"/>
      <c r="E63" s="6"/>
      <c r="F63" s="6"/>
      <c r="G63" s="369"/>
      <c r="H63" s="369"/>
    </row>
    <row r="64" spans="1:10" ht="15" x14ac:dyDescent="0.2">
      <c r="A64" s="6"/>
      <c r="B64" s="6"/>
      <c r="C64" s="6"/>
      <c r="D64" s="6"/>
      <c r="E64" s="26"/>
      <c r="F64" s="6"/>
    </row>
    <row r="65" spans="1:6" x14ac:dyDescent="0.2">
      <c r="A65" s="6"/>
      <c r="B65" s="6"/>
      <c r="C65" s="6"/>
      <c r="D65" s="6"/>
      <c r="E65" s="6"/>
      <c r="F65" s="6"/>
    </row>
    <row r="66" spans="1:6" x14ac:dyDescent="0.2">
      <c r="A66" s="6"/>
      <c r="B66" s="6"/>
      <c r="C66" s="6"/>
      <c r="D66" s="6"/>
      <c r="E66" s="6"/>
      <c r="F66" s="6"/>
    </row>
    <row r="67" spans="1:6" x14ac:dyDescent="0.2">
      <c r="A67" s="6"/>
      <c r="B67" s="6"/>
      <c r="C67" s="6"/>
      <c r="D67" s="6"/>
      <c r="E67" s="10"/>
      <c r="F67" s="6"/>
    </row>
    <row r="68" spans="1:6" x14ac:dyDescent="0.2">
      <c r="A68" s="6"/>
      <c r="B68" s="6"/>
      <c r="C68" s="6"/>
      <c r="D68" s="6"/>
      <c r="E68" s="6"/>
      <c r="F68" s="6"/>
    </row>
    <row r="69" spans="1:6" x14ac:dyDescent="0.2">
      <c r="A69" s="6"/>
      <c r="B69" s="6"/>
      <c r="C69" s="6"/>
      <c r="D69" s="6"/>
      <c r="E69" s="6"/>
      <c r="F69" s="6"/>
    </row>
    <row r="70" spans="1:6" x14ac:dyDescent="0.2">
      <c r="A70" s="6"/>
      <c r="B70" s="6"/>
      <c r="C70" s="6"/>
      <c r="D70" s="6"/>
      <c r="E70" s="10"/>
      <c r="F70" s="6"/>
    </row>
    <row r="71" spans="1:6" x14ac:dyDescent="0.2">
      <c r="A71" s="6"/>
      <c r="B71" s="6"/>
      <c r="C71" s="6"/>
      <c r="D71" s="6"/>
      <c r="E71" s="6"/>
      <c r="F71" s="6"/>
    </row>
    <row r="72" spans="1:6" x14ac:dyDescent="0.2">
      <c r="A72" s="6"/>
      <c r="B72" s="6"/>
      <c r="C72" s="6"/>
      <c r="D72" s="6"/>
      <c r="E72" s="6"/>
      <c r="F72" s="6"/>
    </row>
    <row r="73" spans="1:6" x14ac:dyDescent="0.2">
      <c r="A73" s="6"/>
      <c r="B73" s="6"/>
      <c r="C73" s="6"/>
      <c r="D73" s="6"/>
      <c r="E73" s="6"/>
      <c r="F73" s="6"/>
    </row>
    <row r="74" spans="1:6" x14ac:dyDescent="0.2">
      <c r="A74" s="6"/>
      <c r="B74" s="6"/>
      <c r="C74" s="6"/>
      <c r="D74" s="6"/>
      <c r="E74" s="6"/>
      <c r="F74" s="6"/>
    </row>
    <row r="75" spans="1:6" x14ac:dyDescent="0.2">
      <c r="A75" s="6"/>
      <c r="B75" s="6"/>
      <c r="C75" s="6"/>
      <c r="D75" s="6"/>
      <c r="E75" s="6"/>
      <c r="F75" s="6"/>
    </row>
    <row r="76" spans="1:6" x14ac:dyDescent="0.2">
      <c r="A76" s="6"/>
      <c r="B76" s="6"/>
      <c r="C76" s="6"/>
      <c r="D76" s="6"/>
      <c r="E76" s="6"/>
      <c r="F76" s="6"/>
    </row>
    <row r="77" spans="1:6" x14ac:dyDescent="0.2">
      <c r="A77" s="6"/>
      <c r="B77" s="6"/>
      <c r="C77" s="6"/>
      <c r="D77" s="6"/>
      <c r="E77" s="6"/>
      <c r="F77" s="6"/>
    </row>
    <row r="78" spans="1:6" x14ac:dyDescent="0.2">
      <c r="A78" s="6"/>
      <c r="B78" s="6"/>
      <c r="C78" s="6"/>
      <c r="D78" s="6"/>
      <c r="E78" s="6"/>
      <c r="F78" s="6"/>
    </row>
    <row r="79" spans="1:6" x14ac:dyDescent="0.2">
      <c r="A79" s="6"/>
      <c r="B79" s="6"/>
      <c r="C79" s="6"/>
      <c r="D79" s="6"/>
      <c r="E79" s="6"/>
      <c r="F79" s="6"/>
    </row>
    <row r="80" spans="1:6" x14ac:dyDescent="0.2">
      <c r="A80" s="6"/>
      <c r="B80" s="6"/>
      <c r="C80" s="6"/>
      <c r="D80" s="6"/>
      <c r="E80" s="6"/>
      <c r="F80" s="6"/>
    </row>
    <row r="81" spans="1:10" x14ac:dyDescent="0.2">
      <c r="A81" s="6"/>
      <c r="B81" s="6"/>
      <c r="C81" s="6"/>
      <c r="D81" s="6"/>
      <c r="E81" s="6"/>
      <c r="F81" s="6"/>
    </row>
    <row r="82" spans="1:10" x14ac:dyDescent="0.2">
      <c r="A82" s="6"/>
      <c r="B82" s="6"/>
      <c r="C82" s="6"/>
      <c r="D82" s="6"/>
      <c r="E82" s="6"/>
      <c r="F82" s="6"/>
    </row>
    <row r="83" spans="1:10" x14ac:dyDescent="0.2">
      <c r="A83" s="6"/>
      <c r="B83" s="6"/>
      <c r="C83" s="6"/>
      <c r="D83" s="6"/>
      <c r="E83" s="6"/>
      <c r="F83" s="6"/>
    </row>
    <row r="84" spans="1:10" x14ac:dyDescent="0.2">
      <c r="A84" s="6"/>
      <c r="B84" s="6"/>
      <c r="C84" s="6"/>
      <c r="D84" s="6"/>
      <c r="E84" s="6"/>
      <c r="F84" s="6"/>
    </row>
    <row r="85" spans="1:10" x14ac:dyDescent="0.2">
      <c r="A85" s="6"/>
      <c r="B85" s="6"/>
      <c r="C85" s="6"/>
      <c r="D85" s="6"/>
      <c r="E85" s="6"/>
      <c r="F85" s="6"/>
    </row>
    <row r="86" spans="1:10" x14ac:dyDescent="0.2">
      <c r="A86" s="6"/>
      <c r="B86" s="6"/>
      <c r="C86" s="6"/>
      <c r="D86" s="6"/>
      <c r="E86" s="6"/>
      <c r="F86" s="6"/>
    </row>
    <row r="87" spans="1:10" x14ac:dyDescent="0.2">
      <c r="A87" s="6"/>
      <c r="B87" s="6"/>
      <c r="C87" s="6"/>
      <c r="D87" s="6"/>
      <c r="E87" s="6"/>
      <c r="F87" s="6"/>
    </row>
    <row r="88" spans="1:10" x14ac:dyDescent="0.2">
      <c r="A88" s="6"/>
      <c r="B88" s="6"/>
      <c r="C88" s="6"/>
      <c r="D88" s="6"/>
      <c r="E88" s="6"/>
      <c r="F88" s="6"/>
    </row>
    <row r="89" spans="1:10" x14ac:dyDescent="0.2">
      <c r="A89" s="6"/>
      <c r="B89" s="6"/>
      <c r="C89" s="6"/>
      <c r="D89" s="6"/>
      <c r="E89" s="6"/>
      <c r="F89" s="6"/>
    </row>
    <row r="90" spans="1:10" x14ac:dyDescent="0.2">
      <c r="A90" s="6"/>
      <c r="B90" s="6"/>
      <c r="C90" s="6"/>
      <c r="D90" s="6"/>
      <c r="E90" s="6"/>
      <c r="F90" s="6"/>
    </row>
    <row r="91" spans="1:10" x14ac:dyDescent="0.2">
      <c r="A91" s="6"/>
      <c r="B91" s="6"/>
      <c r="C91" s="6"/>
      <c r="D91" s="6"/>
      <c r="E91" s="6"/>
      <c r="F91" s="6"/>
    </row>
    <row r="92" spans="1:10" x14ac:dyDescent="0.2">
      <c r="A92" s="6"/>
      <c r="B92" s="6"/>
      <c r="C92" s="6"/>
      <c r="D92" s="6"/>
      <c r="E92" s="6"/>
      <c r="F92" s="6"/>
    </row>
    <row r="93" spans="1:10" x14ac:dyDescent="0.2">
      <c r="A93" s="6"/>
      <c r="B93" s="6"/>
      <c r="C93" s="6"/>
      <c r="D93" s="6"/>
      <c r="E93" s="6"/>
      <c r="F93" s="6"/>
    </row>
    <row r="94" spans="1:10" x14ac:dyDescent="0.2">
      <c r="A94" s="11"/>
      <c r="B94" s="11"/>
      <c r="C94" s="11"/>
      <c r="D94" s="11"/>
      <c r="E94" s="11"/>
      <c r="F94" s="11"/>
    </row>
    <row r="95" spans="1:10" s="1" customFormat="1" x14ac:dyDescent="0.2">
      <c r="A95" s="7"/>
      <c r="B95" s="7"/>
      <c r="C95" s="7"/>
      <c r="D95" s="7"/>
      <c r="E95" s="7"/>
      <c r="F95" s="7"/>
      <c r="I95" s="447"/>
      <c r="J95" s="447"/>
    </row>
    <row r="96" spans="1:10" s="1" customFormat="1" x14ac:dyDescent="0.2">
      <c r="A96" s="9"/>
      <c r="B96" s="9"/>
      <c r="C96" s="9"/>
      <c r="D96" s="9"/>
      <c r="E96" s="9"/>
      <c r="F96" s="9"/>
      <c r="I96" s="447"/>
      <c r="J96" s="447"/>
    </row>
    <row r="97" spans="1:10" s="1" customFormat="1" ht="15" x14ac:dyDescent="0.25">
      <c r="A97" s="12"/>
      <c r="B97" s="12"/>
      <c r="C97" s="12"/>
      <c r="D97" s="12"/>
      <c r="E97" s="12"/>
      <c r="F97" s="12"/>
      <c r="I97" s="447"/>
      <c r="J97" s="447"/>
    </row>
    <row r="98" spans="1:10" s="8" customFormat="1" x14ac:dyDescent="0.2">
      <c r="A98" s="9"/>
      <c r="B98" s="9"/>
      <c r="C98" s="9"/>
      <c r="D98" s="9"/>
      <c r="E98" s="9"/>
      <c r="F98" s="9"/>
      <c r="I98" s="448"/>
      <c r="J98" s="448"/>
    </row>
    <row r="99" spans="1:10" s="1" customFormat="1" x14ac:dyDescent="0.2">
      <c r="A99" s="14"/>
      <c r="B99" s="14"/>
      <c r="C99" s="14"/>
      <c r="D99" s="14"/>
      <c r="E99" s="14"/>
      <c r="F99" s="14"/>
      <c r="I99" s="447"/>
      <c r="J99" s="447"/>
    </row>
    <row r="100" spans="1:10" s="1" customFormat="1" x14ac:dyDescent="0.2">
      <c r="A100" s="15"/>
      <c r="B100" s="15"/>
      <c r="C100" s="15"/>
      <c r="D100" s="15"/>
      <c r="E100" s="15"/>
      <c r="F100" s="15"/>
      <c r="I100" s="447"/>
      <c r="J100" s="447"/>
    </row>
    <row r="101" spans="1:10" s="1" customFormat="1" x14ac:dyDescent="0.2">
      <c r="A101" s="15"/>
      <c r="B101" s="15"/>
      <c r="C101" s="15"/>
      <c r="D101" s="15"/>
      <c r="E101" s="15"/>
      <c r="F101" s="15"/>
      <c r="I101" s="447"/>
      <c r="J101" s="447"/>
    </row>
    <row r="102" spans="1:10" x14ac:dyDescent="0.2">
      <c r="A102" s="11"/>
      <c r="B102" s="11"/>
      <c r="C102" s="11"/>
      <c r="D102" s="11"/>
      <c r="E102" s="11"/>
      <c r="F102" s="11"/>
    </row>
    <row r="103" spans="1:10" x14ac:dyDescent="0.2">
      <c r="A103" s="11"/>
      <c r="B103" s="11"/>
      <c r="C103" s="11"/>
      <c r="D103" s="11"/>
      <c r="E103" s="11"/>
      <c r="F103" s="11"/>
    </row>
    <row r="104" spans="1:10" x14ac:dyDescent="0.2">
      <c r="A104" s="11"/>
      <c r="B104" s="11"/>
      <c r="C104" s="11"/>
      <c r="D104" s="11"/>
      <c r="E104" s="11"/>
      <c r="F104" s="11"/>
    </row>
    <row r="105" spans="1:10" x14ac:dyDescent="0.2">
      <c r="A105" s="11"/>
      <c r="B105" s="11"/>
      <c r="C105" s="11"/>
      <c r="D105" s="11"/>
      <c r="E105" s="11"/>
      <c r="F105" s="11"/>
    </row>
    <row r="106" spans="1:10" x14ac:dyDescent="0.2">
      <c r="A106" s="11"/>
      <c r="B106" s="11"/>
      <c r="C106" s="11"/>
      <c r="D106" s="11"/>
      <c r="E106" s="11"/>
      <c r="F106" s="11"/>
    </row>
    <row r="107" spans="1:10" x14ac:dyDescent="0.2">
      <c r="A107" s="11"/>
      <c r="B107" s="11"/>
      <c r="C107" s="11"/>
      <c r="D107" s="11"/>
      <c r="E107" s="11"/>
      <c r="F107" s="11"/>
    </row>
    <row r="108" spans="1:10" x14ac:dyDescent="0.2">
      <c r="A108" s="11"/>
      <c r="B108" s="11"/>
      <c r="C108" s="11"/>
      <c r="D108" s="11"/>
      <c r="E108" s="11"/>
      <c r="F108" s="11"/>
    </row>
    <row r="109" spans="1:10" x14ac:dyDescent="0.2">
      <c r="A109" s="11"/>
      <c r="B109" s="11"/>
      <c r="C109" s="11"/>
      <c r="D109" s="11"/>
      <c r="E109" s="11"/>
      <c r="F109" s="11"/>
    </row>
    <row r="110" spans="1:10" x14ac:dyDescent="0.2">
      <c r="A110" s="11"/>
      <c r="B110" s="11"/>
      <c r="C110" s="11"/>
      <c r="D110" s="11"/>
      <c r="E110" s="11"/>
      <c r="F110" s="11"/>
    </row>
  </sheetData>
  <mergeCells count="9">
    <mergeCell ref="A3:F3"/>
    <mergeCell ref="A4:F4"/>
    <mergeCell ref="A7:F7"/>
    <mergeCell ref="A8:F8"/>
    <mergeCell ref="B60:C60"/>
    <mergeCell ref="A9:F9"/>
    <mergeCell ref="A10:F10"/>
    <mergeCell ref="C13:C15"/>
    <mergeCell ref="E13:E15"/>
  </mergeCells>
  <phoneticPr fontId="10" type="noConversion"/>
  <printOptions horizontalCentered="1" verticalCentered="1"/>
  <pageMargins left="0.78740157480314965" right="0.78740157480314965" top="0.59055118110236227" bottom="0.59055118110236227" header="0" footer="0"/>
  <pageSetup scale="66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3"/>
  <sheetViews>
    <sheetView view="pageBreakPreview" zoomScale="120" zoomScaleSheetLayoutView="120" workbookViewId="0">
      <selection activeCell="K142" sqref="K142"/>
    </sheetView>
  </sheetViews>
  <sheetFormatPr baseColWidth="10" defaultRowHeight="12.75" x14ac:dyDescent="0.2"/>
  <cols>
    <col min="1" max="7" width="17.42578125" style="262" customWidth="1"/>
    <col min="8" max="8" width="3.5703125" style="262" customWidth="1"/>
    <col min="9" max="9" width="14.85546875" style="262" bestFit="1" customWidth="1"/>
    <col min="10" max="10" width="19" style="262" bestFit="1" customWidth="1"/>
    <col min="11" max="11" width="14.85546875" style="494" bestFit="1" customWidth="1"/>
    <col min="12" max="16384" width="11.42578125" style="262"/>
  </cols>
  <sheetData>
    <row r="1" spans="1:12" ht="15" x14ac:dyDescent="0.2">
      <c r="A1" s="261"/>
      <c r="B1" s="261"/>
      <c r="C1" s="261"/>
      <c r="D1" s="261"/>
      <c r="E1" s="261"/>
      <c r="F1" s="261"/>
      <c r="G1" s="261"/>
      <c r="H1" s="261"/>
      <c r="I1" s="261"/>
      <c r="J1" s="261"/>
      <c r="K1" s="490"/>
      <c r="L1" s="261"/>
    </row>
    <row r="2" spans="1:12" ht="23.25" customHeight="1" x14ac:dyDescent="0.2">
      <c r="A2" s="640" t="s">
        <v>7</v>
      </c>
      <c r="B2" s="640"/>
      <c r="C2" s="640"/>
      <c r="D2" s="640"/>
      <c r="E2" s="640"/>
      <c r="F2" s="640"/>
      <c r="G2" s="640"/>
      <c r="H2" s="263"/>
      <c r="I2" s="263"/>
      <c r="J2" s="263"/>
      <c r="K2" s="491"/>
      <c r="L2" s="263"/>
    </row>
    <row r="3" spans="1:12" ht="23.25" customHeight="1" x14ac:dyDescent="0.2">
      <c r="A3" s="641" t="s">
        <v>106</v>
      </c>
      <c r="B3" s="641"/>
      <c r="C3" s="641"/>
      <c r="D3" s="641"/>
      <c r="E3" s="641"/>
      <c r="F3" s="641"/>
      <c r="G3" s="641"/>
      <c r="H3" s="264"/>
      <c r="I3" s="264"/>
      <c r="J3" s="264"/>
      <c r="K3" s="492"/>
      <c r="L3" s="264"/>
    </row>
    <row r="4" spans="1:12" ht="15.75" x14ac:dyDescent="0.25">
      <c r="A4" s="642"/>
      <c r="B4" s="642"/>
      <c r="C4" s="642"/>
      <c r="D4" s="642"/>
      <c r="E4" s="642"/>
      <c r="F4" s="642"/>
      <c r="G4" s="642"/>
      <c r="H4" s="642"/>
      <c r="I4" s="642"/>
      <c r="J4" s="642"/>
      <c r="K4" s="642"/>
      <c r="L4" s="266"/>
    </row>
    <row r="5" spans="1:12" ht="15" x14ac:dyDescent="0.2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490"/>
      <c r="L5" s="261"/>
    </row>
    <row r="6" spans="1:12" ht="15.75" x14ac:dyDescent="0.25">
      <c r="A6" s="639" t="s">
        <v>664</v>
      </c>
      <c r="B6" s="639"/>
      <c r="C6" s="639"/>
      <c r="D6" s="639"/>
      <c r="E6" s="639"/>
      <c r="F6" s="639"/>
      <c r="G6" s="639"/>
      <c r="H6" s="267"/>
      <c r="I6" s="267"/>
      <c r="J6" s="267"/>
      <c r="K6" s="493"/>
      <c r="L6" s="269"/>
    </row>
    <row r="7" spans="1:12" ht="15.75" x14ac:dyDescent="0.25">
      <c r="A7" s="639" t="s">
        <v>970</v>
      </c>
      <c r="B7" s="639"/>
      <c r="C7" s="639"/>
      <c r="D7" s="639"/>
      <c r="E7" s="639"/>
      <c r="F7" s="639"/>
      <c r="G7" s="639"/>
      <c r="H7" s="267"/>
      <c r="I7" s="267"/>
      <c r="J7" s="267"/>
      <c r="K7" s="493"/>
      <c r="L7" s="269"/>
    </row>
    <row r="8" spans="1:12" ht="15.75" x14ac:dyDescent="0.25">
      <c r="A8" s="639" t="s">
        <v>8</v>
      </c>
      <c r="B8" s="639"/>
      <c r="C8" s="639"/>
      <c r="D8" s="639"/>
      <c r="E8" s="639"/>
      <c r="F8" s="639"/>
      <c r="G8" s="639"/>
      <c r="H8" s="267"/>
      <c r="I8" s="267"/>
      <c r="J8" s="267"/>
      <c r="K8" s="493"/>
      <c r="L8" s="269"/>
    </row>
    <row r="9" spans="1:12" ht="15.75" x14ac:dyDescent="0.25">
      <c r="A9" s="269"/>
      <c r="B9" s="270"/>
      <c r="C9" s="270"/>
      <c r="D9" s="270"/>
      <c r="E9" s="270"/>
      <c r="F9" s="270"/>
      <c r="G9" s="270"/>
      <c r="H9" s="267"/>
      <c r="I9" s="267"/>
      <c r="J9" s="271"/>
      <c r="K9" s="493"/>
      <c r="L9" s="269"/>
    </row>
    <row r="10" spans="1:12" x14ac:dyDescent="0.2">
      <c r="H10" s="272"/>
      <c r="I10" s="272" t="s">
        <v>113</v>
      </c>
      <c r="J10" s="272" t="s">
        <v>665</v>
      </c>
    </row>
    <row r="11" spans="1:12" x14ac:dyDescent="0.2">
      <c r="H11" s="272"/>
      <c r="I11" s="273">
        <f>+'BZA DE COMP'!H35</f>
        <v>618000885</v>
      </c>
      <c r="J11" s="273">
        <f>+'BZA DE COMP'!H47</f>
        <v>62316149</v>
      </c>
    </row>
    <row r="12" spans="1:12" x14ac:dyDescent="0.2">
      <c r="I12" s="274"/>
      <c r="J12" s="273">
        <f>+'BZA DE COMP'!H57+('BZA DE COMP'!H69-'BZA DE COMP'!H81)</f>
        <v>555684736</v>
      </c>
    </row>
    <row r="13" spans="1:12" x14ac:dyDescent="0.2">
      <c r="H13" s="272"/>
      <c r="I13" s="272"/>
    </row>
    <row r="14" spans="1:12" x14ac:dyDescent="0.2">
      <c r="I14" s="272"/>
      <c r="J14" s="275">
        <f>+J11+J12</f>
        <v>618000885</v>
      </c>
    </row>
    <row r="15" spans="1:12" x14ac:dyDescent="0.2">
      <c r="I15" s="272"/>
      <c r="J15" s="275"/>
    </row>
    <row r="30" spans="7:7" x14ac:dyDescent="0.2">
      <c r="G30" s="281"/>
    </row>
    <row r="38" spans="1:12" ht="15" x14ac:dyDescent="0.2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490"/>
      <c r="L38" s="261"/>
    </row>
    <row r="39" spans="1:12" ht="23.25" customHeight="1" x14ac:dyDescent="0.2">
      <c r="A39" s="640" t="s">
        <v>7</v>
      </c>
      <c r="B39" s="640"/>
      <c r="C39" s="640"/>
      <c r="D39" s="640"/>
      <c r="E39" s="640"/>
      <c r="F39" s="640"/>
      <c r="G39" s="640"/>
      <c r="H39" s="263"/>
      <c r="I39" s="263"/>
      <c r="J39" s="263"/>
      <c r="K39" s="491"/>
      <c r="L39" s="263"/>
    </row>
    <row r="40" spans="1:12" ht="23.25" customHeight="1" x14ac:dyDescent="0.2">
      <c r="A40" s="641" t="s">
        <v>106</v>
      </c>
      <c r="B40" s="641"/>
      <c r="C40" s="641"/>
      <c r="D40" s="641"/>
      <c r="E40" s="641"/>
      <c r="F40" s="641"/>
      <c r="G40" s="641"/>
      <c r="H40" s="264"/>
      <c r="I40" s="264"/>
      <c r="J40" s="264"/>
      <c r="K40" s="492"/>
      <c r="L40" s="264"/>
    </row>
    <row r="41" spans="1:12" ht="15.75" x14ac:dyDescent="0.25">
      <c r="A41" s="642"/>
      <c r="B41" s="642"/>
      <c r="C41" s="642"/>
      <c r="D41" s="642"/>
      <c r="E41" s="642"/>
      <c r="F41" s="642"/>
      <c r="G41" s="642"/>
      <c r="H41" s="642"/>
      <c r="I41" s="642"/>
      <c r="J41" s="642"/>
      <c r="K41" s="642"/>
      <c r="L41" s="266"/>
    </row>
    <row r="42" spans="1:12" ht="15" x14ac:dyDescent="0.2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490"/>
      <c r="L42" s="261"/>
    </row>
    <row r="43" spans="1:12" ht="15.75" x14ac:dyDescent="0.25">
      <c r="A43" s="639" t="s">
        <v>113</v>
      </c>
      <c r="B43" s="639"/>
      <c r="C43" s="639"/>
      <c r="D43" s="639"/>
      <c r="E43" s="639"/>
      <c r="F43" s="639"/>
      <c r="G43" s="639"/>
      <c r="H43" s="267"/>
      <c r="I43" s="267"/>
      <c r="J43" s="267"/>
      <c r="K43" s="493"/>
      <c r="L43" s="269"/>
    </row>
    <row r="44" spans="1:12" ht="15.75" x14ac:dyDescent="0.25">
      <c r="A44" s="639" t="s">
        <v>970</v>
      </c>
      <c r="B44" s="639"/>
      <c r="C44" s="639"/>
      <c r="D44" s="639"/>
      <c r="E44" s="639"/>
      <c r="F44" s="639"/>
      <c r="G44" s="639"/>
      <c r="H44" s="267"/>
      <c r="I44" s="267"/>
      <c r="J44" s="267"/>
      <c r="K44" s="493"/>
      <c r="L44" s="269"/>
    </row>
    <row r="45" spans="1:12" ht="15.75" x14ac:dyDescent="0.25">
      <c r="A45" s="639" t="s">
        <v>8</v>
      </c>
      <c r="B45" s="639"/>
      <c r="C45" s="639"/>
      <c r="D45" s="639"/>
      <c r="E45" s="639"/>
      <c r="F45" s="639"/>
      <c r="G45" s="639"/>
      <c r="H45" s="267"/>
      <c r="I45" s="276" t="s">
        <v>113</v>
      </c>
      <c r="J45" s="267"/>
      <c r="K45" s="493"/>
      <c r="L45" s="269"/>
    </row>
    <row r="46" spans="1:12" ht="15.75" x14ac:dyDescent="0.25">
      <c r="A46" s="269"/>
      <c r="B46" s="270"/>
      <c r="C46" s="270"/>
      <c r="D46" s="270"/>
      <c r="E46" s="270"/>
      <c r="F46" s="270"/>
      <c r="G46" s="270"/>
      <c r="H46" s="267"/>
      <c r="I46" s="267"/>
      <c r="J46" s="271"/>
      <c r="K46" s="493"/>
      <c r="L46" s="269"/>
    </row>
    <row r="47" spans="1:12" x14ac:dyDescent="0.2">
      <c r="H47" s="272"/>
      <c r="I47" s="272"/>
      <c r="J47" s="277"/>
      <c r="K47" s="498"/>
    </row>
    <row r="48" spans="1:12" x14ac:dyDescent="0.2">
      <c r="H48" s="272"/>
      <c r="I48" s="272" t="str">
        <f>+'BZA DE COMP'!C17</f>
        <v>BANCOS</v>
      </c>
      <c r="J48" s="277">
        <f>+'BZA DE COMP'!H17</f>
        <v>33947259</v>
      </c>
      <c r="K48" s="499">
        <f>+J48/$J$57</f>
        <v>5.4930761142842052E-2</v>
      </c>
    </row>
    <row r="49" spans="8:12" x14ac:dyDescent="0.2">
      <c r="I49" s="272" t="str">
        <f>+'BZA DE COMP'!C18</f>
        <v>CUENTAS POR COBRAR</v>
      </c>
      <c r="J49" s="277">
        <f>+'BZA DE COMP'!H18</f>
        <v>1704833</v>
      </c>
      <c r="K49" s="499">
        <f>+J49/$J$57</f>
        <v>2.7586254993793415E-3</v>
      </c>
    </row>
    <row r="50" spans="8:12" x14ac:dyDescent="0.2">
      <c r="H50" s="272"/>
      <c r="I50" s="272" t="str">
        <f>+'BZA DE COMP'!C19</f>
        <v>DEUDORES DIVERSOS</v>
      </c>
      <c r="J50" s="277">
        <f>+'BZA DE COMP'!H19</f>
        <v>1292380</v>
      </c>
      <c r="K50" s="499">
        <f t="shared" ref="K50:K55" si="0">+J50/$J$57</f>
        <v>2.0912267787448232E-3</v>
      </c>
    </row>
    <row r="51" spans="8:12" x14ac:dyDescent="0.2">
      <c r="I51" s="272" t="str">
        <f>+'BZA DE COMP'!C20</f>
        <v>ALMACEN GENERAL</v>
      </c>
      <c r="J51" s="277">
        <f>+'BZA DE COMP'!H20</f>
        <v>2267478</v>
      </c>
      <c r="K51" s="499">
        <f t="shared" si="0"/>
        <v>3.6690529982008036E-3</v>
      </c>
    </row>
    <row r="52" spans="8:12" hidden="1" x14ac:dyDescent="0.2">
      <c r="I52" s="272" t="str">
        <f>+'BZA DE COMP'!C21</f>
        <v>INVERSIONES</v>
      </c>
      <c r="J52" s="277">
        <f>+'BZA DE COMP'!H21</f>
        <v>0</v>
      </c>
      <c r="K52" s="499">
        <f t="shared" si="0"/>
        <v>0</v>
      </c>
    </row>
    <row r="53" spans="8:12" x14ac:dyDescent="0.2">
      <c r="I53" s="272" t="str">
        <f>+'BZA DE COMP'!C21</f>
        <v>INVERSIONES</v>
      </c>
      <c r="J53" s="277">
        <f>+'BZA DE COMP'!H21</f>
        <v>0</v>
      </c>
      <c r="K53" s="499">
        <f t="shared" si="0"/>
        <v>0</v>
      </c>
    </row>
    <row r="54" spans="8:12" x14ac:dyDescent="0.2">
      <c r="I54" s="272" t="str">
        <f>+'BZA DE COMP'!C25</f>
        <v>BIENES MUEBLES</v>
      </c>
      <c r="J54" s="277">
        <f>+'BZA DE COMP'!H25</f>
        <v>134629088</v>
      </c>
      <c r="K54" s="499">
        <f t="shared" si="0"/>
        <v>0.21784610874788635</v>
      </c>
    </row>
    <row r="55" spans="8:12" x14ac:dyDescent="0.2">
      <c r="I55" s="272" t="str">
        <f>+'BZA DE COMP'!C26</f>
        <v>BIENES INMUEBLES</v>
      </c>
      <c r="J55" s="277">
        <f>+'BZA DE COMP'!H26</f>
        <v>444159847</v>
      </c>
      <c r="K55" s="499">
        <f t="shared" si="0"/>
        <v>0.7187042248329466</v>
      </c>
    </row>
    <row r="56" spans="8:12" x14ac:dyDescent="0.2">
      <c r="K56" s="499">
        <f>+K48+K49+K50+K51+K53+K54+K55</f>
        <v>1</v>
      </c>
    </row>
    <row r="57" spans="8:12" x14ac:dyDescent="0.2">
      <c r="J57" s="299">
        <f>+J48+J49+J50+J51+J53+J54+J55</f>
        <v>618000885</v>
      </c>
      <c r="K57" s="499"/>
    </row>
    <row r="58" spans="8:12" x14ac:dyDescent="0.2">
      <c r="I58" s="272"/>
      <c r="J58" s="277"/>
    </row>
    <row r="59" spans="8:12" x14ac:dyDescent="0.2">
      <c r="I59" s="272"/>
      <c r="J59" s="277"/>
      <c r="K59" s="497"/>
      <c r="L59" s="479"/>
    </row>
    <row r="60" spans="8:12" x14ac:dyDescent="0.2">
      <c r="I60" s="272"/>
      <c r="J60" s="277"/>
      <c r="K60" s="497">
        <v>43.44</v>
      </c>
      <c r="L60" s="479"/>
    </row>
    <row r="61" spans="8:12" x14ac:dyDescent="0.2">
      <c r="I61" s="272"/>
      <c r="J61" s="277"/>
      <c r="K61" s="497">
        <v>13.06</v>
      </c>
      <c r="L61" s="479"/>
    </row>
    <row r="62" spans="8:12" x14ac:dyDescent="0.2">
      <c r="I62" s="272"/>
      <c r="J62" s="277"/>
      <c r="K62" s="497">
        <v>0.28999999999999998</v>
      </c>
      <c r="L62" s="479">
        <v>0.16</v>
      </c>
    </row>
    <row r="63" spans="8:12" x14ac:dyDescent="0.2">
      <c r="I63" s="272"/>
      <c r="J63" s="277"/>
      <c r="K63" s="497">
        <v>0.22</v>
      </c>
      <c r="L63" s="479"/>
    </row>
    <row r="64" spans="8:12" x14ac:dyDescent="0.2">
      <c r="I64" s="272"/>
      <c r="J64" s="277"/>
      <c r="K64" s="497">
        <v>0.17</v>
      </c>
      <c r="L64" s="479"/>
    </row>
    <row r="65" spans="1:12" x14ac:dyDescent="0.2">
      <c r="I65" s="272"/>
      <c r="J65" s="277"/>
      <c r="K65" s="497">
        <v>42.82</v>
      </c>
      <c r="L65" s="479">
        <v>12.85</v>
      </c>
    </row>
    <row r="66" spans="1:12" x14ac:dyDescent="0.2">
      <c r="I66" s="272"/>
      <c r="J66" s="277"/>
      <c r="K66" s="497"/>
      <c r="L66" s="479"/>
    </row>
    <row r="67" spans="1:12" x14ac:dyDescent="0.2">
      <c r="K67" s="497">
        <f>SUM(K60:K66)</f>
        <v>100</v>
      </c>
      <c r="L67" s="479"/>
    </row>
    <row r="68" spans="1:12" x14ac:dyDescent="0.2">
      <c r="J68" s="281"/>
      <c r="K68" s="497"/>
      <c r="L68" s="479"/>
    </row>
    <row r="69" spans="1:12" x14ac:dyDescent="0.2">
      <c r="K69" s="497"/>
      <c r="L69" s="479"/>
    </row>
    <row r="70" spans="1:12" x14ac:dyDescent="0.2">
      <c r="K70" s="497"/>
      <c r="L70" s="479"/>
    </row>
    <row r="71" spans="1:12" x14ac:dyDescent="0.2">
      <c r="I71" s="272"/>
    </row>
    <row r="72" spans="1:12" x14ac:dyDescent="0.2">
      <c r="I72" s="272"/>
    </row>
    <row r="73" spans="1:12" x14ac:dyDescent="0.2">
      <c r="I73" s="272"/>
    </row>
    <row r="76" spans="1:12" ht="15" x14ac:dyDescent="0.2">
      <c r="A76" s="261"/>
      <c r="B76" s="261"/>
      <c r="C76" s="261"/>
      <c r="D76" s="261"/>
      <c r="E76" s="261"/>
      <c r="F76" s="261"/>
      <c r="G76" s="261"/>
      <c r="H76" s="261"/>
      <c r="I76" s="261"/>
      <c r="J76" s="261"/>
      <c r="K76" s="490"/>
      <c r="L76" s="261"/>
    </row>
    <row r="77" spans="1:12" ht="23.25" customHeight="1" x14ac:dyDescent="0.2">
      <c r="A77" s="640" t="s">
        <v>7</v>
      </c>
      <c r="B77" s="640"/>
      <c r="C77" s="640"/>
      <c r="D77" s="640"/>
      <c r="E77" s="640"/>
      <c r="F77" s="640"/>
      <c r="G77" s="640"/>
      <c r="H77" s="263"/>
      <c r="I77" s="263"/>
      <c r="J77" s="263"/>
      <c r="K77" s="491"/>
      <c r="L77" s="263"/>
    </row>
    <row r="78" spans="1:12" ht="23.25" customHeight="1" x14ac:dyDescent="0.2">
      <c r="A78" s="641" t="s">
        <v>106</v>
      </c>
      <c r="B78" s="641"/>
      <c r="C78" s="641"/>
      <c r="D78" s="641"/>
      <c r="E78" s="641"/>
      <c r="F78" s="641"/>
      <c r="G78" s="641"/>
      <c r="H78" s="264"/>
      <c r="I78" s="264"/>
      <c r="J78" s="264"/>
      <c r="K78" s="492"/>
      <c r="L78" s="264"/>
    </row>
    <row r="79" spans="1:12" ht="15.75" x14ac:dyDescent="0.25">
      <c r="A79" s="642"/>
      <c r="B79" s="642"/>
      <c r="C79" s="642"/>
      <c r="D79" s="642"/>
      <c r="E79" s="642"/>
      <c r="F79" s="642"/>
      <c r="G79" s="642"/>
      <c r="H79" s="642"/>
      <c r="I79" s="642"/>
      <c r="J79" s="642"/>
      <c r="K79" s="642"/>
      <c r="L79" s="266"/>
    </row>
    <row r="80" spans="1:12" ht="15" x14ac:dyDescent="0.2">
      <c r="A80" s="261"/>
      <c r="B80" s="261"/>
      <c r="C80" s="261"/>
      <c r="D80" s="261"/>
      <c r="E80" s="261"/>
      <c r="F80" s="261"/>
      <c r="G80" s="261"/>
      <c r="H80" s="261"/>
      <c r="I80" s="261"/>
      <c r="J80" s="261"/>
      <c r="K80" s="490"/>
      <c r="L80" s="261"/>
    </row>
    <row r="81" spans="1:12" ht="15.75" x14ac:dyDescent="0.25">
      <c r="A81" s="639" t="s">
        <v>127</v>
      </c>
      <c r="B81" s="639"/>
      <c r="C81" s="639"/>
      <c r="D81" s="639"/>
      <c r="E81" s="639"/>
      <c r="F81" s="639"/>
      <c r="G81" s="639"/>
      <c r="H81" s="267"/>
      <c r="I81" s="267"/>
      <c r="J81" s="267"/>
      <c r="K81" s="493"/>
      <c r="L81" s="269"/>
    </row>
    <row r="82" spans="1:12" ht="15.75" x14ac:dyDescent="0.25">
      <c r="A82" s="639" t="s">
        <v>970</v>
      </c>
      <c r="B82" s="639"/>
      <c r="C82" s="639"/>
      <c r="D82" s="639"/>
      <c r="E82" s="639"/>
      <c r="F82" s="639"/>
      <c r="G82" s="639"/>
      <c r="H82" s="267"/>
      <c r="I82" s="267"/>
      <c r="J82" s="267"/>
      <c r="K82" s="493"/>
      <c r="L82" s="269"/>
    </row>
    <row r="83" spans="1:12" ht="15.75" x14ac:dyDescent="0.25">
      <c r="A83" s="639" t="s">
        <v>8</v>
      </c>
      <c r="B83" s="639"/>
      <c r="C83" s="639"/>
      <c r="D83" s="639"/>
      <c r="E83" s="639"/>
      <c r="F83" s="639"/>
      <c r="G83" s="639"/>
      <c r="H83" s="267"/>
      <c r="I83" s="267"/>
      <c r="J83" s="267"/>
      <c r="K83" s="493"/>
      <c r="L83" s="269"/>
    </row>
    <row r="84" spans="1:12" ht="15.75" x14ac:dyDescent="0.25">
      <c r="A84" s="269"/>
      <c r="B84" s="270"/>
      <c r="C84" s="270"/>
      <c r="D84" s="270"/>
      <c r="E84" s="270"/>
      <c r="F84" s="270"/>
      <c r="G84" s="270"/>
      <c r="H84" s="267"/>
      <c r="I84" s="267"/>
      <c r="J84" s="271"/>
      <c r="K84" s="493"/>
      <c r="L84" s="269"/>
    </row>
    <row r="85" spans="1:12" ht="15.75" x14ac:dyDescent="0.25">
      <c r="H85" s="272"/>
      <c r="I85" s="278" t="s">
        <v>127</v>
      </c>
      <c r="J85" s="272"/>
    </row>
    <row r="86" spans="1:12" x14ac:dyDescent="0.2">
      <c r="H86" s="272"/>
      <c r="J86" s="279"/>
    </row>
    <row r="87" spans="1:12" x14ac:dyDescent="0.2">
      <c r="I87" s="280" t="str">
        <f>+'BZA DE COMP'!C40</f>
        <v>ACREEDORES DIVERSOS</v>
      </c>
      <c r="J87" s="280">
        <f>+'BZA DE COMP'!H40</f>
        <v>5177104</v>
      </c>
    </row>
    <row r="88" spans="1:12" x14ac:dyDescent="0.2">
      <c r="H88" s="272"/>
      <c r="I88" s="280" t="str">
        <f>+'BZA DE COMP'!C41</f>
        <v>FONDOS AJENOS</v>
      </c>
      <c r="J88" s="280">
        <f>+'BZA DE COMP'!H41</f>
        <v>0</v>
      </c>
    </row>
    <row r="89" spans="1:12" x14ac:dyDescent="0.2">
      <c r="I89" s="280" t="str">
        <f>+'BZA DE COMP'!C42</f>
        <v>IMPUESTOS POR PAGAR</v>
      </c>
      <c r="J89" s="280">
        <f>+'BZA DE COMP'!H42</f>
        <v>10015693</v>
      </c>
    </row>
    <row r="90" spans="1:12" x14ac:dyDescent="0.2">
      <c r="I90" s="280" t="str">
        <f>+'BZA DE COMP'!C43</f>
        <v>PRESTACIONES DIVERSAS</v>
      </c>
      <c r="J90" s="280">
        <f>+'BZA DE COMP'!H43</f>
        <v>47123352</v>
      </c>
    </row>
    <row r="91" spans="1:12" x14ac:dyDescent="0.2">
      <c r="I91" s="280"/>
      <c r="J91" s="280"/>
    </row>
    <row r="92" spans="1:12" x14ac:dyDescent="0.2">
      <c r="I92" s="280"/>
      <c r="J92" s="280"/>
    </row>
    <row r="93" spans="1:12" x14ac:dyDescent="0.2">
      <c r="I93" s="280"/>
    </row>
    <row r="94" spans="1:12" x14ac:dyDescent="0.2">
      <c r="I94" s="280"/>
    </row>
    <row r="96" spans="1:12" x14ac:dyDescent="0.2">
      <c r="I96" s="280"/>
      <c r="J96" s="274">
        <f>SUM(J87:J95)</f>
        <v>62316149</v>
      </c>
    </row>
    <row r="97" spans="9:11" x14ac:dyDescent="0.2">
      <c r="I97" s="280"/>
      <c r="J97" s="299">
        <f>+'BZA DE COMP'!H47</f>
        <v>62316149</v>
      </c>
      <c r="K97" s="495"/>
    </row>
    <row r="98" spans="9:11" x14ac:dyDescent="0.2">
      <c r="I98" s="280"/>
      <c r="J98" s="299">
        <f>+J96-J97</f>
        <v>0</v>
      </c>
      <c r="K98" s="495">
        <v>0.14879999999999999</v>
      </c>
    </row>
    <row r="99" spans="9:11" x14ac:dyDescent="0.2">
      <c r="K99" s="495">
        <v>0.7742</v>
      </c>
    </row>
    <row r="100" spans="9:11" x14ac:dyDescent="0.2">
      <c r="K100" s="495">
        <v>7.7100000000000002E-2</v>
      </c>
    </row>
    <row r="101" spans="9:11" x14ac:dyDescent="0.2">
      <c r="K101" s="495">
        <v>0</v>
      </c>
    </row>
    <row r="102" spans="9:11" x14ac:dyDescent="0.2">
      <c r="K102" s="495">
        <f>SUM(K98:K101)</f>
        <v>1.0001</v>
      </c>
    </row>
    <row r="103" spans="9:11" x14ac:dyDescent="0.2">
      <c r="K103" s="495"/>
    </row>
    <row r="104" spans="9:11" x14ac:dyDescent="0.2">
      <c r="K104" s="495"/>
    </row>
    <row r="105" spans="9:11" x14ac:dyDescent="0.2">
      <c r="K105" s="495"/>
    </row>
    <row r="106" spans="9:11" x14ac:dyDescent="0.2">
      <c r="K106" s="495"/>
    </row>
    <row r="107" spans="9:11" x14ac:dyDescent="0.2">
      <c r="K107" s="496"/>
    </row>
    <row r="108" spans="9:11" x14ac:dyDescent="0.2">
      <c r="K108" s="496"/>
    </row>
    <row r="109" spans="9:11" x14ac:dyDescent="0.2">
      <c r="K109" s="496"/>
    </row>
    <row r="110" spans="9:11" x14ac:dyDescent="0.2">
      <c r="K110" s="496"/>
    </row>
    <row r="111" spans="9:11" x14ac:dyDescent="0.2">
      <c r="K111" s="496"/>
    </row>
    <row r="113" spans="1:12" ht="15" x14ac:dyDescent="0.2">
      <c r="A113" s="261"/>
      <c r="B113" s="261"/>
      <c r="C113" s="261"/>
      <c r="D113" s="261"/>
      <c r="E113" s="261"/>
      <c r="F113" s="261"/>
      <c r="G113" s="261"/>
      <c r="H113" s="261"/>
      <c r="I113" s="261"/>
      <c r="J113" s="261"/>
      <c r="K113" s="490"/>
      <c r="L113" s="261"/>
    </row>
    <row r="114" spans="1:12" ht="23.25" customHeight="1" x14ac:dyDescent="0.2">
      <c r="A114" s="640" t="s">
        <v>7</v>
      </c>
      <c r="B114" s="640"/>
      <c r="C114" s="640"/>
      <c r="D114" s="640"/>
      <c r="E114" s="640"/>
      <c r="F114" s="640"/>
      <c r="G114" s="640"/>
      <c r="H114" s="263"/>
      <c r="I114" s="263"/>
      <c r="J114" s="263"/>
      <c r="K114" s="491"/>
      <c r="L114" s="263"/>
    </row>
    <row r="115" spans="1:12" ht="23.25" customHeight="1" x14ac:dyDescent="0.2">
      <c r="A115" s="641" t="s">
        <v>106</v>
      </c>
      <c r="B115" s="641"/>
      <c r="C115" s="641"/>
      <c r="D115" s="641"/>
      <c r="E115" s="641"/>
      <c r="F115" s="641"/>
      <c r="G115" s="641"/>
      <c r="H115" s="264"/>
      <c r="I115" s="264"/>
      <c r="J115" s="264"/>
      <c r="K115" s="492"/>
      <c r="L115" s="264"/>
    </row>
    <row r="116" spans="1:12" ht="15.75" x14ac:dyDescent="0.25">
      <c r="A116" s="642"/>
      <c r="B116" s="642"/>
      <c r="C116" s="642"/>
      <c r="D116" s="642"/>
      <c r="E116" s="642"/>
      <c r="F116" s="642"/>
      <c r="G116" s="642"/>
      <c r="H116" s="642"/>
      <c r="I116" s="642"/>
      <c r="J116" s="642"/>
      <c r="K116" s="642"/>
      <c r="L116" s="266"/>
    </row>
    <row r="117" spans="1:12" ht="15" x14ac:dyDescent="0.2">
      <c r="A117" s="261"/>
      <c r="B117" s="261"/>
      <c r="C117" s="261"/>
      <c r="D117" s="261"/>
      <c r="E117" s="261"/>
      <c r="F117" s="261"/>
      <c r="G117" s="261"/>
      <c r="H117" s="261"/>
      <c r="I117" s="261"/>
      <c r="J117" s="261"/>
      <c r="K117" s="490"/>
      <c r="L117" s="261"/>
    </row>
    <row r="118" spans="1:12" ht="15.75" x14ac:dyDescent="0.25">
      <c r="A118" s="639" t="s">
        <v>666</v>
      </c>
      <c r="B118" s="639"/>
      <c r="C118" s="639"/>
      <c r="D118" s="639"/>
      <c r="E118" s="639"/>
      <c r="F118" s="639"/>
      <c r="G118" s="639"/>
      <c r="H118" s="267"/>
      <c r="I118" s="267"/>
      <c r="J118" s="267"/>
      <c r="K118" s="493"/>
      <c r="L118" s="269"/>
    </row>
    <row r="119" spans="1:12" ht="15.75" x14ac:dyDescent="0.25">
      <c r="A119" s="639" t="s">
        <v>970</v>
      </c>
      <c r="B119" s="639"/>
      <c r="C119" s="639"/>
      <c r="D119" s="639"/>
      <c r="E119" s="639"/>
      <c r="F119" s="639"/>
      <c r="G119" s="639"/>
      <c r="H119" s="267"/>
      <c r="I119" s="267"/>
      <c r="J119" s="267"/>
      <c r="K119" s="493"/>
      <c r="L119" s="269"/>
    </row>
    <row r="120" spans="1:12" ht="15.75" x14ac:dyDescent="0.25">
      <c r="A120" s="639" t="s">
        <v>8</v>
      </c>
      <c r="B120" s="639"/>
      <c r="C120" s="639"/>
      <c r="D120" s="639"/>
      <c r="E120" s="639"/>
      <c r="F120" s="639"/>
      <c r="G120" s="639"/>
      <c r="H120" s="267"/>
      <c r="I120" s="267"/>
      <c r="J120" s="267"/>
      <c r="K120" s="493"/>
      <c r="L120" s="269"/>
    </row>
    <row r="121" spans="1:12" ht="15.75" x14ac:dyDescent="0.25">
      <c r="A121" s="269"/>
      <c r="B121" s="270"/>
      <c r="C121" s="270"/>
      <c r="D121" s="270"/>
      <c r="E121" s="270"/>
      <c r="F121" s="270"/>
      <c r="G121" s="270"/>
      <c r="H121" s="267"/>
      <c r="I121" s="267"/>
      <c r="J121" s="271"/>
      <c r="K121" s="493"/>
      <c r="L121" s="269"/>
    </row>
    <row r="122" spans="1:12" x14ac:dyDescent="0.2">
      <c r="H122" s="272"/>
      <c r="I122" s="272"/>
      <c r="J122" s="280">
        <f>SUM(J124:J126)</f>
        <v>555684736</v>
      </c>
    </row>
    <row r="123" spans="1:12" x14ac:dyDescent="0.2">
      <c r="H123" s="272"/>
      <c r="I123" s="279"/>
      <c r="J123" s="279"/>
    </row>
    <row r="124" spans="1:12" x14ac:dyDescent="0.2">
      <c r="I124" s="280" t="str">
        <f>+'BZA DE COMP'!C54</f>
        <v>BIENES MUEBLES E INMUEBLES</v>
      </c>
      <c r="J124" s="280">
        <f>+'BZA DE COMP'!H54</f>
        <v>577035241</v>
      </c>
      <c r="K124" s="554">
        <f>+J124/$J$122</f>
        <v>1.038421974937962</v>
      </c>
    </row>
    <row r="125" spans="1:12" x14ac:dyDescent="0.2">
      <c r="H125" s="272"/>
      <c r="I125" s="280" t="str">
        <f>+'BZA DE COMP'!C55</f>
        <v>RESULTADO DE EJ ANTERIORES</v>
      </c>
      <c r="J125" s="280">
        <f>+'BZA DE COMP'!H55</f>
        <v>-299784591</v>
      </c>
      <c r="K125" s="554">
        <f t="shared" ref="K125:K126" si="1">+J125/$J$122</f>
        <v>-0.53948681973513846</v>
      </c>
    </row>
    <row r="126" spans="1:12" x14ac:dyDescent="0.2">
      <c r="I126" s="280" t="str">
        <f>+'[1]EDO DE SIT FIN'!$H$38</f>
        <v>RESULTADO DEL EJERCICIO</v>
      </c>
      <c r="J126" s="280">
        <f>+'BZA DE COMP'!H69-'BZA DE COMP'!H81</f>
        <v>278434086</v>
      </c>
      <c r="K126" s="554">
        <f t="shared" si="1"/>
        <v>0.5010648447971765</v>
      </c>
    </row>
    <row r="127" spans="1:12" x14ac:dyDescent="0.2">
      <c r="I127" s="280"/>
      <c r="J127" s="280"/>
    </row>
    <row r="128" spans="1:12" x14ac:dyDescent="0.2">
      <c r="I128" s="280"/>
      <c r="J128" s="280"/>
    </row>
    <row r="129" spans="9:11" x14ac:dyDescent="0.2">
      <c r="I129" s="280"/>
      <c r="J129" s="280"/>
    </row>
    <row r="130" spans="9:11" x14ac:dyDescent="0.2">
      <c r="I130" s="280"/>
      <c r="J130" s="280"/>
    </row>
    <row r="131" spans="9:11" x14ac:dyDescent="0.2">
      <c r="I131" s="280"/>
      <c r="J131" s="280"/>
    </row>
    <row r="132" spans="9:11" x14ac:dyDescent="0.2">
      <c r="I132" s="280"/>
      <c r="J132" s="280"/>
      <c r="K132" s="494">
        <v>14.76</v>
      </c>
    </row>
    <row r="133" spans="9:11" x14ac:dyDescent="0.2">
      <c r="I133" s="280"/>
      <c r="K133" s="494">
        <v>44.11</v>
      </c>
    </row>
    <row r="134" spans="9:11" x14ac:dyDescent="0.2">
      <c r="I134" s="280"/>
    </row>
    <row r="135" spans="9:11" x14ac:dyDescent="0.2">
      <c r="I135" s="280"/>
    </row>
    <row r="136" spans="9:11" x14ac:dyDescent="0.2">
      <c r="J136" s="274">
        <f>SUM(J124:J135)</f>
        <v>555684736</v>
      </c>
    </row>
    <row r="140" spans="9:11" x14ac:dyDescent="0.2">
      <c r="K140" s="494">
        <v>24.1</v>
      </c>
    </row>
    <row r="141" spans="9:11" x14ac:dyDescent="0.2">
      <c r="K141" s="494">
        <v>25.95</v>
      </c>
    </row>
    <row r="142" spans="9:11" x14ac:dyDescent="0.2">
      <c r="K142" s="494">
        <v>49.95</v>
      </c>
    </row>
    <row r="143" spans="9:11" x14ac:dyDescent="0.2">
      <c r="K143" s="494">
        <f>SUM(K140:K142)</f>
        <v>100</v>
      </c>
    </row>
  </sheetData>
  <mergeCells count="24">
    <mergeCell ref="A45:G45"/>
    <mergeCell ref="A2:G2"/>
    <mergeCell ref="A3:G3"/>
    <mergeCell ref="A4:K4"/>
    <mergeCell ref="A6:G6"/>
    <mergeCell ref="A7:G7"/>
    <mergeCell ref="A8:G8"/>
    <mergeCell ref="A39:G39"/>
    <mergeCell ref="A40:G40"/>
    <mergeCell ref="A41:K41"/>
    <mergeCell ref="A43:G43"/>
    <mergeCell ref="A44:G44"/>
    <mergeCell ref="A120:G120"/>
    <mergeCell ref="A77:G77"/>
    <mergeCell ref="A78:G78"/>
    <mergeCell ref="A79:K79"/>
    <mergeCell ref="A81:G81"/>
    <mergeCell ref="A82:G82"/>
    <mergeCell ref="A83:G83"/>
    <mergeCell ref="A114:G114"/>
    <mergeCell ref="A115:G115"/>
    <mergeCell ref="A116:K116"/>
    <mergeCell ref="A118:G118"/>
    <mergeCell ref="A119:G1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"/>
  <sheetViews>
    <sheetView view="pageBreakPreview" topLeftCell="A25" zoomScale="120" zoomScaleNormal="100" zoomScaleSheetLayoutView="120" workbookViewId="0">
      <selection activeCell="A46" sqref="A46:G46"/>
    </sheetView>
  </sheetViews>
  <sheetFormatPr baseColWidth="10" defaultRowHeight="12.75" x14ac:dyDescent="0.2"/>
  <cols>
    <col min="1" max="7" width="17.42578125" style="262" customWidth="1"/>
    <col min="8" max="8" width="3.5703125" style="262" customWidth="1"/>
    <col min="9" max="11" width="14.85546875" style="262" bestFit="1" customWidth="1"/>
    <col min="12" max="16384" width="11.42578125" style="262"/>
  </cols>
  <sheetData>
    <row r="1" spans="1:12" ht="15" x14ac:dyDescent="0.2">
      <c r="A1" s="26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pans="1:12" ht="23.25" customHeight="1" x14ac:dyDescent="0.2">
      <c r="A2" s="640" t="s">
        <v>7</v>
      </c>
      <c r="B2" s="640"/>
      <c r="C2" s="640"/>
      <c r="D2" s="640"/>
      <c r="E2" s="640"/>
      <c r="F2" s="640"/>
      <c r="G2" s="640"/>
      <c r="H2" s="263"/>
      <c r="I2" s="263"/>
      <c r="J2" s="263"/>
      <c r="K2" s="263"/>
      <c r="L2" s="263"/>
    </row>
    <row r="3" spans="1:12" ht="23.25" customHeight="1" x14ac:dyDescent="0.2">
      <c r="A3" s="641" t="s">
        <v>106</v>
      </c>
      <c r="B3" s="641"/>
      <c r="C3" s="641"/>
      <c r="D3" s="641"/>
      <c r="E3" s="641"/>
      <c r="F3" s="641"/>
      <c r="G3" s="641"/>
      <c r="H3" s="264"/>
      <c r="I3" s="264"/>
      <c r="J3" s="264"/>
      <c r="K3" s="264"/>
      <c r="L3" s="264"/>
    </row>
    <row r="4" spans="1:12" ht="15.75" x14ac:dyDescent="0.25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6"/>
    </row>
    <row r="5" spans="1:12" ht="15" x14ac:dyDescent="0.2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</row>
    <row r="6" spans="1:12" ht="15.75" x14ac:dyDescent="0.25">
      <c r="A6" s="618" t="s">
        <v>667</v>
      </c>
      <c r="B6" s="618"/>
      <c r="C6" s="618"/>
      <c r="D6" s="618"/>
      <c r="E6" s="618"/>
      <c r="F6" s="618"/>
      <c r="G6" s="618"/>
      <c r="H6" s="267"/>
      <c r="I6" s="267"/>
      <c r="J6" s="267"/>
      <c r="K6" s="268"/>
      <c r="L6" s="269"/>
    </row>
    <row r="7" spans="1:12" ht="15.75" x14ac:dyDescent="0.25">
      <c r="A7" s="618" t="s">
        <v>971</v>
      </c>
      <c r="B7" s="618"/>
      <c r="C7" s="618"/>
      <c r="D7" s="618"/>
      <c r="E7" s="618"/>
      <c r="F7" s="618"/>
      <c r="G7" s="618"/>
      <c r="H7" s="267"/>
      <c r="I7" s="267"/>
      <c r="J7" s="267"/>
      <c r="K7" s="268"/>
      <c r="L7" s="269"/>
    </row>
    <row r="8" spans="1:12" ht="15.75" x14ac:dyDescent="0.25">
      <c r="A8" s="618" t="s">
        <v>8</v>
      </c>
      <c r="B8" s="618"/>
      <c r="C8" s="618"/>
      <c r="D8" s="618"/>
      <c r="E8" s="618"/>
      <c r="F8" s="618"/>
      <c r="G8" s="618"/>
      <c r="H8" s="267"/>
      <c r="I8" s="276"/>
      <c r="J8" s="267"/>
      <c r="K8" s="268"/>
      <c r="L8" s="269"/>
    </row>
    <row r="9" spans="1:12" ht="15.75" x14ac:dyDescent="0.25">
      <c r="A9" s="269"/>
      <c r="B9" s="270"/>
      <c r="C9" s="270"/>
      <c r="D9" s="270"/>
      <c r="E9" s="270"/>
      <c r="F9" s="270"/>
      <c r="G9" s="270"/>
      <c r="H9" s="267"/>
      <c r="I9" s="267"/>
      <c r="J9" s="271"/>
      <c r="K9" s="268"/>
      <c r="L9" s="269"/>
    </row>
    <row r="10" spans="1:12" customFormat="1" x14ac:dyDescent="0.2">
      <c r="H10" s="287"/>
      <c r="I10" s="287" t="str">
        <f>+'BZA DE COMP'!C62</f>
        <v xml:space="preserve">PARTICIPACIONES  </v>
      </c>
      <c r="J10" s="307">
        <f>+'BZA DE COMP'!H62</f>
        <v>478997932</v>
      </c>
      <c r="K10" s="519">
        <f>+J10/$J$17</f>
        <v>8.2662379689020515E-2</v>
      </c>
    </row>
    <row r="11" spans="1:12" customFormat="1" x14ac:dyDescent="0.2">
      <c r="H11" s="287"/>
      <c r="I11" s="287" t="str">
        <f>+'BZA DE COMP'!C63</f>
        <v>CONVENIOS</v>
      </c>
      <c r="J11" s="307">
        <f>+'BZA DE COMP'!H63</f>
        <v>167540578</v>
      </c>
      <c r="K11" s="519">
        <f t="shared" ref="K11:K15" si="0">+J11/$J$17</f>
        <v>2.8913074455515515E-2</v>
      </c>
    </row>
    <row r="12" spans="1:12" customFormat="1" x14ac:dyDescent="0.2">
      <c r="I12" s="287" t="str">
        <f>+'BZA DE COMP'!C64</f>
        <v>RAMO XXXIII</v>
      </c>
      <c r="J12" s="307">
        <f>+'BZA DE COMP'!H64</f>
        <v>5136347028</v>
      </c>
      <c r="K12" s="519">
        <f t="shared" si="0"/>
        <v>0.88639770629136683</v>
      </c>
    </row>
    <row r="13" spans="1:12" customFormat="1" x14ac:dyDescent="0.2">
      <c r="H13" s="287"/>
      <c r="I13" s="287" t="str">
        <f>+'BZA DE COMP'!C65</f>
        <v>DERECHOS</v>
      </c>
      <c r="J13" s="307">
        <f>+'BZA DE COMP'!H65</f>
        <v>0</v>
      </c>
      <c r="K13" s="519">
        <f t="shared" si="0"/>
        <v>0</v>
      </c>
    </row>
    <row r="14" spans="1:12" customFormat="1" x14ac:dyDescent="0.2">
      <c r="I14" s="287" t="str">
        <f>+'BZA DE COMP'!C66</f>
        <v xml:space="preserve">PRODUCTOS </v>
      </c>
      <c r="J14" s="307">
        <f>+'BZA DE COMP'!H66</f>
        <v>127022</v>
      </c>
      <c r="K14" s="519">
        <f t="shared" si="0"/>
        <v>2.1920639091316086E-5</v>
      </c>
    </row>
    <row r="15" spans="1:12" customFormat="1" x14ac:dyDescent="0.2">
      <c r="I15" s="287" t="str">
        <f>+'BZA DE COMP'!C67</f>
        <v>APROVECHAMIENTOS</v>
      </c>
      <c r="J15" s="307">
        <f>+'BZA DE COMP'!H67</f>
        <v>11617764</v>
      </c>
      <c r="K15" s="519">
        <f t="shared" si="0"/>
        <v>2.0049189250057843E-3</v>
      </c>
    </row>
    <row r="16" spans="1:12" customFormat="1" x14ac:dyDescent="0.2">
      <c r="I16" s="262"/>
      <c r="J16" s="262"/>
    </row>
    <row r="17" spans="7:11" customFormat="1" x14ac:dyDescent="0.2">
      <c r="J17" s="306">
        <f>SUM(J10:J16)</f>
        <v>5794630324</v>
      </c>
    </row>
    <row r="18" spans="7:11" customFormat="1" x14ac:dyDescent="0.2">
      <c r="J18" s="306"/>
    </row>
    <row r="19" spans="7:11" customFormat="1" x14ac:dyDescent="0.2"/>
    <row r="20" spans="7:11" customFormat="1" x14ac:dyDescent="0.2"/>
    <row r="21" spans="7:11" customFormat="1" x14ac:dyDescent="0.2">
      <c r="K21">
        <v>0.2</v>
      </c>
    </row>
    <row r="22" spans="7:11" customFormat="1" x14ac:dyDescent="0.2">
      <c r="G22" s="308"/>
      <c r="K22">
        <v>8.27</v>
      </c>
    </row>
    <row r="23" spans="7:11" customFormat="1" x14ac:dyDescent="0.2">
      <c r="G23" s="308"/>
      <c r="K23">
        <v>2.89</v>
      </c>
    </row>
    <row r="24" spans="7:11" customFormat="1" x14ac:dyDescent="0.2">
      <c r="G24" s="308"/>
      <c r="K24">
        <v>88.64</v>
      </c>
    </row>
    <row r="25" spans="7:11" customFormat="1" x14ac:dyDescent="0.2">
      <c r="G25" s="308"/>
      <c r="J25" t="s">
        <v>899</v>
      </c>
    </row>
    <row r="26" spans="7:11" customFormat="1" x14ac:dyDescent="0.2">
      <c r="G26" s="308"/>
      <c r="K26">
        <f>SUM(K21:K25)</f>
        <v>100</v>
      </c>
    </row>
    <row r="27" spans="7:11" customFormat="1" x14ac:dyDescent="0.2">
      <c r="G27" s="308"/>
    </row>
    <row r="28" spans="7:11" customFormat="1" x14ac:dyDescent="0.2">
      <c r="G28" s="308"/>
    </row>
    <row r="29" spans="7:11" customFormat="1" x14ac:dyDescent="0.2">
      <c r="G29" s="308"/>
    </row>
    <row r="30" spans="7:11" customFormat="1" x14ac:dyDescent="0.2">
      <c r="G30" s="308"/>
    </row>
    <row r="31" spans="7:11" customFormat="1" x14ac:dyDescent="0.2">
      <c r="G31" s="308"/>
    </row>
    <row r="32" spans="7:11" customFormat="1" x14ac:dyDescent="0.2">
      <c r="G32" s="308"/>
    </row>
    <row r="33" spans="1:12" customFormat="1" x14ac:dyDescent="0.2">
      <c r="G33" s="308"/>
      <c r="J33" s="306">
        <f>106584712+570133+1107317271+2470939</f>
        <v>1216943055</v>
      </c>
    </row>
    <row r="34" spans="1:12" customFormat="1" x14ac:dyDescent="0.2">
      <c r="G34" s="308"/>
    </row>
    <row r="35" spans="1:12" customFormat="1" x14ac:dyDescent="0.2">
      <c r="G35" s="308"/>
    </row>
    <row r="36" spans="1:12" customFormat="1" x14ac:dyDescent="0.2">
      <c r="G36" s="308"/>
    </row>
    <row r="37" spans="1:12" customFormat="1" x14ac:dyDescent="0.2">
      <c r="G37" s="308"/>
      <c r="J37" s="306">
        <f>SUM(J10:J36)</f>
        <v>12806203703</v>
      </c>
    </row>
    <row r="38" spans="1:12" customFormat="1" ht="15" x14ac:dyDescent="0.2">
      <c r="A38" s="24"/>
      <c r="B38" s="24"/>
      <c r="C38" s="24"/>
      <c r="D38" s="24"/>
      <c r="E38" s="24"/>
      <c r="F38" s="24"/>
      <c r="G38" s="24"/>
      <c r="H38" s="24"/>
      <c r="I38" s="262"/>
      <c r="J38" s="302">
        <f>+'BZA DE COMP'!H69</f>
        <v>5794630324</v>
      </c>
      <c r="K38" s="24"/>
      <c r="L38" s="24"/>
    </row>
    <row r="39" spans="1:12" customFormat="1" ht="15" x14ac:dyDescent="0.2">
      <c r="A39" s="24"/>
      <c r="B39" s="24"/>
      <c r="C39" s="24"/>
      <c r="D39" s="24"/>
      <c r="E39" s="24"/>
      <c r="F39" s="24"/>
      <c r="G39" s="24"/>
      <c r="H39" s="24"/>
      <c r="I39" s="262"/>
      <c r="J39" s="302"/>
      <c r="K39" s="24"/>
      <c r="L39" s="24"/>
    </row>
    <row r="40" spans="1:12" customFormat="1" ht="23.25" customHeight="1" x14ac:dyDescent="0.2">
      <c r="A40" s="634" t="s">
        <v>7</v>
      </c>
      <c r="B40" s="634"/>
      <c r="C40" s="634"/>
      <c r="D40" s="634"/>
      <c r="E40" s="634"/>
      <c r="F40" s="634"/>
      <c r="G40" s="634"/>
      <c r="H40" s="283"/>
      <c r="I40" s="24"/>
      <c r="J40" s="303">
        <f>+J37-J38</f>
        <v>7011573379</v>
      </c>
      <c r="K40" s="283"/>
      <c r="L40" s="283"/>
    </row>
    <row r="41" spans="1:12" customFormat="1" ht="23.25" customHeight="1" x14ac:dyDescent="0.2">
      <c r="A41" s="644" t="s">
        <v>106</v>
      </c>
      <c r="B41" s="644"/>
      <c r="C41" s="644"/>
      <c r="D41" s="644"/>
      <c r="E41" s="644"/>
      <c r="F41" s="644"/>
      <c r="G41" s="644"/>
      <c r="H41" s="284"/>
      <c r="I41" s="283"/>
      <c r="J41" s="304"/>
      <c r="K41" s="284"/>
      <c r="L41" s="284"/>
    </row>
    <row r="42" spans="1:12" customFormat="1" ht="23.25" x14ac:dyDescent="0.25">
      <c r="A42" s="260"/>
      <c r="B42" s="260"/>
      <c r="C42" s="260"/>
      <c r="D42" s="260"/>
      <c r="E42" s="260"/>
      <c r="F42" s="260"/>
      <c r="G42" s="260"/>
      <c r="H42" s="260"/>
      <c r="I42" s="284"/>
      <c r="J42" s="284"/>
      <c r="K42" s="260"/>
      <c r="L42" s="285"/>
    </row>
    <row r="43" spans="1:12" customFormat="1" ht="15" x14ac:dyDescent="0.2">
      <c r="A43" s="24"/>
      <c r="B43" s="24"/>
      <c r="C43" s="24"/>
      <c r="D43" s="24"/>
      <c r="E43" s="24"/>
      <c r="F43" s="24"/>
      <c r="G43" s="24"/>
      <c r="H43" s="24"/>
      <c r="I43" s="260"/>
      <c r="J43" s="260"/>
      <c r="K43" s="24"/>
      <c r="L43" s="24"/>
    </row>
    <row r="44" spans="1:12" customFormat="1" ht="15.75" x14ac:dyDescent="0.25">
      <c r="A44" s="638" t="s">
        <v>668</v>
      </c>
      <c r="B44" s="638"/>
      <c r="C44" s="638"/>
      <c r="D44" s="638"/>
      <c r="E44" s="638"/>
      <c r="F44" s="638"/>
      <c r="G44" s="638"/>
      <c r="H44" s="249"/>
      <c r="I44" s="24"/>
      <c r="J44" s="24"/>
      <c r="K44" s="286"/>
      <c r="L44" s="175"/>
    </row>
    <row r="45" spans="1:12" customFormat="1" ht="15.75" x14ac:dyDescent="0.25">
      <c r="A45" s="618" t="s">
        <v>971</v>
      </c>
      <c r="B45" s="618"/>
      <c r="C45" s="618"/>
      <c r="D45" s="618"/>
      <c r="E45" s="618"/>
      <c r="F45" s="618"/>
      <c r="G45" s="618"/>
      <c r="H45" s="249"/>
      <c r="I45" s="249"/>
      <c r="J45" s="249"/>
      <c r="K45" s="286"/>
      <c r="L45" s="175"/>
    </row>
    <row r="46" spans="1:12" customFormat="1" ht="15.75" x14ac:dyDescent="0.25">
      <c r="A46" s="638" t="s">
        <v>8</v>
      </c>
      <c r="B46" s="638"/>
      <c r="C46" s="638"/>
      <c r="D46" s="638"/>
      <c r="E46" s="638"/>
      <c r="F46" s="638"/>
      <c r="G46" s="638"/>
      <c r="H46" s="249"/>
      <c r="I46" s="249"/>
      <c r="J46" s="249"/>
      <c r="K46" s="286"/>
      <c r="L46" s="175"/>
    </row>
    <row r="47" spans="1:12" customFormat="1" ht="15.75" x14ac:dyDescent="0.25">
      <c r="A47" s="175"/>
      <c r="B47" s="38"/>
      <c r="C47" s="38"/>
      <c r="D47" s="38"/>
      <c r="E47" s="38"/>
      <c r="F47" s="38"/>
      <c r="G47" s="38"/>
      <c r="H47" s="249"/>
      <c r="I47" s="249"/>
      <c r="J47" s="249"/>
      <c r="K47" s="286"/>
      <c r="L47" s="175"/>
    </row>
    <row r="48" spans="1:12" customFormat="1" ht="13.5" customHeight="1" x14ac:dyDescent="0.2">
      <c r="H48" s="287"/>
      <c r="I48" s="249"/>
      <c r="J48" s="271"/>
    </row>
    <row r="49" spans="8:13" s="1" customFormat="1" x14ac:dyDescent="0.2">
      <c r="H49" s="288"/>
      <c r="I49"/>
      <c r="J49"/>
    </row>
    <row r="50" spans="8:13" s="1" customFormat="1" x14ac:dyDescent="0.2">
      <c r="I50" s="288" t="s">
        <v>87</v>
      </c>
      <c r="J50" s="289">
        <f>+'BZA DE COMP'!H77</f>
        <v>232382610</v>
      </c>
      <c r="K50" s="500">
        <v>0.11</v>
      </c>
      <c r="L50" s="500"/>
    </row>
    <row r="51" spans="8:13" s="1" customFormat="1" x14ac:dyDescent="0.2">
      <c r="H51" s="288"/>
      <c r="I51" s="288" t="s">
        <v>675</v>
      </c>
      <c r="J51" s="289">
        <f>+'BZA DE COMP'!H78</f>
        <v>0</v>
      </c>
      <c r="K51" s="500">
        <f t="shared" ref="K51:K54" si="1">+J51/$J$55</f>
        <v>0</v>
      </c>
      <c r="L51" s="500"/>
    </row>
    <row r="52" spans="8:13" s="1" customFormat="1" x14ac:dyDescent="0.2">
      <c r="I52" s="288" t="s">
        <v>13</v>
      </c>
      <c r="J52" s="289">
        <f>+'BZA DE COMP'!H74</f>
        <v>5043915356</v>
      </c>
      <c r="K52" s="500">
        <v>0.99890000000000001</v>
      </c>
      <c r="L52" s="500">
        <f>+J52/J55</f>
        <v>0.95459751442996954</v>
      </c>
    </row>
    <row r="53" spans="8:13" s="1" customFormat="1" x14ac:dyDescent="0.2">
      <c r="I53" s="288" t="s">
        <v>19</v>
      </c>
      <c r="J53" s="289">
        <f>+'BZA DE COMP'!H75</f>
        <v>77136402</v>
      </c>
      <c r="K53" s="500">
        <f t="shared" si="1"/>
        <v>1.4598622780947186E-2</v>
      </c>
      <c r="L53" s="500">
        <f>+J53/J55</f>
        <v>1.4598622780947186E-2</v>
      </c>
    </row>
    <row r="54" spans="8:13" s="1" customFormat="1" x14ac:dyDescent="0.2">
      <c r="I54" s="288" t="s">
        <v>20</v>
      </c>
      <c r="J54" s="289">
        <f>+'BZA DE COMP'!H76</f>
        <v>162761870</v>
      </c>
      <c r="K54" s="500">
        <f t="shared" si="1"/>
        <v>3.080386278908322E-2</v>
      </c>
      <c r="L54" s="500">
        <f>+J54/J55</f>
        <v>3.080386278908322E-2</v>
      </c>
    </row>
    <row r="55" spans="8:13" s="1" customFormat="1" x14ac:dyDescent="0.2">
      <c r="J55" s="290">
        <f>SUM(J52:J54)</f>
        <v>5283813628</v>
      </c>
      <c r="K55" s="500">
        <f>SUM(K50:K54)</f>
        <v>1.1543024855700303</v>
      </c>
      <c r="L55" s="500"/>
    </row>
    <row r="56" spans="8:13" s="1" customFormat="1" x14ac:dyDescent="0.2">
      <c r="J56" s="290">
        <f>+J50+J55</f>
        <v>5516196238</v>
      </c>
    </row>
    <row r="57" spans="8:13" s="1" customFormat="1" ht="12.75" customHeight="1" x14ac:dyDescent="0.2"/>
    <row r="58" spans="8:13" s="1" customFormat="1" x14ac:dyDescent="0.2">
      <c r="I58" s="643" t="s">
        <v>676</v>
      </c>
    </row>
    <row r="59" spans="8:13" s="1" customFormat="1" x14ac:dyDescent="0.2">
      <c r="I59" s="643"/>
    </row>
    <row r="60" spans="8:13" s="1" customFormat="1" x14ac:dyDescent="0.2">
      <c r="I60" s="643"/>
    </row>
    <row r="61" spans="8:13" s="1" customFormat="1" x14ac:dyDescent="0.2">
      <c r="I61" s="643"/>
    </row>
    <row r="62" spans="8:13" s="1" customFormat="1" x14ac:dyDescent="0.2">
      <c r="I62" s="643"/>
    </row>
    <row r="63" spans="8:13" s="1" customFormat="1" x14ac:dyDescent="0.2">
      <c r="I63" s="643"/>
    </row>
    <row r="64" spans="8:13" s="1" customFormat="1" x14ac:dyDescent="0.2">
      <c r="I64" s="643"/>
      <c r="L64" s="480"/>
      <c r="M64" s="480"/>
    </row>
    <row r="65" spans="9:13" s="1" customFormat="1" x14ac:dyDescent="0.2">
      <c r="I65" s="643"/>
      <c r="K65" s="1">
        <v>1.96</v>
      </c>
      <c r="L65" s="480">
        <v>0.11</v>
      </c>
      <c r="M65" s="480"/>
    </row>
    <row r="66" spans="9:13" s="1" customFormat="1" x14ac:dyDescent="0.2">
      <c r="K66" s="1">
        <v>2</v>
      </c>
      <c r="L66" s="480">
        <v>99.89</v>
      </c>
      <c r="M66" s="480"/>
    </row>
    <row r="67" spans="9:13" s="1" customFormat="1" x14ac:dyDescent="0.2">
      <c r="I67" s="1">
        <f>0.127+0.0076</f>
        <v>0.1346</v>
      </c>
      <c r="K67" s="1">
        <v>96.04</v>
      </c>
      <c r="L67" s="480"/>
      <c r="M67" s="480"/>
    </row>
    <row r="68" spans="9:13" s="1" customFormat="1" x14ac:dyDescent="0.2">
      <c r="I68" s="1">
        <f>+I67-100</f>
        <v>-99.865399999999994</v>
      </c>
      <c r="K68" s="1">
        <f>SUM(K65:K67)</f>
        <v>100</v>
      </c>
      <c r="L68" s="480">
        <f>SUM(L65:L67)</f>
        <v>100</v>
      </c>
      <c r="M68" s="480"/>
    </row>
    <row r="69" spans="9:13" s="1" customFormat="1" x14ac:dyDescent="0.2">
      <c r="I69" s="1">
        <f>98.4522+0.1625+1.2507</f>
        <v>99.865399999999994</v>
      </c>
      <c r="L69" s="480"/>
      <c r="M69" s="480">
        <v>100</v>
      </c>
    </row>
    <row r="70" spans="9:13" s="1" customFormat="1" x14ac:dyDescent="0.2">
      <c r="L70" s="480"/>
      <c r="M70" s="480">
        <v>0.11</v>
      </c>
    </row>
    <row r="71" spans="9:13" customFormat="1" x14ac:dyDescent="0.2">
      <c r="I71" s="1"/>
      <c r="J71" s="1"/>
      <c r="L71" s="369"/>
      <c r="M71" s="369">
        <f>+M69-M70</f>
        <v>99.89</v>
      </c>
    </row>
    <row r="72" spans="9:13" customFormat="1" x14ac:dyDescent="0.2">
      <c r="L72" s="369"/>
      <c r="M72" s="369"/>
    </row>
    <row r="73" spans="9:13" customFormat="1" x14ac:dyDescent="0.2">
      <c r="L73" s="369"/>
      <c r="M73" s="369"/>
    </row>
    <row r="74" spans="9:13" customFormat="1" x14ac:dyDescent="0.2">
      <c r="L74" s="369"/>
      <c r="M74" s="369"/>
    </row>
    <row r="75" spans="9:13" customFormat="1" x14ac:dyDescent="0.2">
      <c r="J75" s="305"/>
      <c r="L75" s="369"/>
      <c r="M75" s="369"/>
    </row>
    <row r="76" spans="9:13" x14ac:dyDescent="0.2">
      <c r="I76"/>
      <c r="J76" s="306"/>
      <c r="L76" s="479"/>
      <c r="M76" s="479"/>
    </row>
    <row r="77" spans="9:13" x14ac:dyDescent="0.2">
      <c r="J77" s="299"/>
    </row>
    <row r="78" spans="9:13" x14ac:dyDescent="0.2">
      <c r="L78" s="479"/>
    </row>
  </sheetData>
  <mergeCells count="11">
    <mergeCell ref="A2:G2"/>
    <mergeCell ref="A3:G3"/>
    <mergeCell ref="A6:G6"/>
    <mergeCell ref="A7:G7"/>
    <mergeCell ref="A8:G8"/>
    <mergeCell ref="A46:G46"/>
    <mergeCell ref="I58:I65"/>
    <mergeCell ref="A40:G40"/>
    <mergeCell ref="A44:G44"/>
    <mergeCell ref="A41:G41"/>
    <mergeCell ref="A45:G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5" orientation="landscape" horizontalDpi="300" verticalDpi="300" r:id="rId1"/>
  <rowBreaks count="1" manualBreakCount="1">
    <brk id="38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3"/>
  <sheetViews>
    <sheetView topLeftCell="A37" workbookViewId="0">
      <selection activeCell="E42" sqref="E42"/>
    </sheetView>
  </sheetViews>
  <sheetFormatPr baseColWidth="10" defaultRowHeight="12.75" x14ac:dyDescent="0.2"/>
  <cols>
    <col min="1" max="3" width="4.28515625" customWidth="1"/>
    <col min="4" max="4" width="65.85546875" customWidth="1"/>
    <col min="5" max="5" width="20.5703125" customWidth="1"/>
    <col min="6" max="6" width="4.28515625" customWidth="1"/>
    <col min="7" max="7" width="20.5703125" customWidth="1"/>
    <col min="8" max="8" width="4.28515625" customWidth="1"/>
    <col min="9" max="9" width="8.85546875" customWidth="1"/>
    <col min="10" max="10" width="13" customWidth="1"/>
    <col min="11" max="11" width="18.7109375" bestFit="1" customWidth="1"/>
    <col min="12" max="12" width="18.7109375" style="275" bestFit="1" customWidth="1"/>
  </cols>
  <sheetData>
    <row r="2" spans="1:8" ht="15" customHeight="1" x14ac:dyDescent="0.2"/>
    <row r="3" spans="1:8" ht="25.5" customHeight="1" x14ac:dyDescent="0.2">
      <c r="A3" s="634" t="s">
        <v>0</v>
      </c>
      <c r="B3" s="634"/>
      <c r="C3" s="634"/>
      <c r="D3" s="634"/>
      <c r="E3" s="634"/>
      <c r="F3" s="634"/>
      <c r="G3" s="634"/>
      <c r="H3" s="634"/>
    </row>
    <row r="4" spans="1:8" ht="25.5" customHeight="1" x14ac:dyDescent="0.2">
      <c r="A4" s="635" t="s">
        <v>106</v>
      </c>
      <c r="B4" s="635"/>
      <c r="C4" s="635"/>
      <c r="D4" s="635"/>
      <c r="E4" s="635"/>
      <c r="F4" s="635"/>
      <c r="G4" s="635"/>
      <c r="H4" s="635"/>
    </row>
    <row r="5" spans="1:8" ht="15" customHeight="1" x14ac:dyDescent="0.25">
      <c r="A5" s="2"/>
      <c r="B5" s="2"/>
      <c r="C5" s="2"/>
      <c r="D5" s="2"/>
      <c r="E5" s="2"/>
      <c r="F5" s="2"/>
      <c r="G5" s="2"/>
      <c r="H5" s="2"/>
    </row>
    <row r="6" spans="1:8" ht="15" customHeight="1" x14ac:dyDescent="0.25">
      <c r="A6" s="2"/>
      <c r="B6" s="2"/>
      <c r="C6" s="2"/>
      <c r="D6" s="2"/>
      <c r="E6" s="2"/>
      <c r="F6" s="2"/>
      <c r="G6" s="2"/>
      <c r="H6" s="2"/>
    </row>
    <row r="7" spans="1:8" ht="15" customHeight="1" x14ac:dyDescent="0.25">
      <c r="A7" s="638" t="s">
        <v>367</v>
      </c>
      <c r="B7" s="638"/>
      <c r="C7" s="638"/>
      <c r="D7" s="638"/>
      <c r="E7" s="638"/>
      <c r="F7" s="638"/>
      <c r="G7" s="638"/>
      <c r="H7" s="638"/>
    </row>
    <row r="8" spans="1:8" ht="15" customHeight="1" x14ac:dyDescent="0.25">
      <c r="A8" s="638" t="s">
        <v>972</v>
      </c>
      <c r="B8" s="638"/>
      <c r="C8" s="638"/>
      <c r="D8" s="638"/>
      <c r="E8" s="638"/>
      <c r="F8" s="638"/>
      <c r="G8" s="638"/>
      <c r="H8" s="638"/>
    </row>
    <row r="9" spans="1:8" ht="15" customHeight="1" x14ac:dyDescent="0.25">
      <c r="A9" s="638" t="s">
        <v>1</v>
      </c>
      <c r="B9" s="638"/>
      <c r="C9" s="638"/>
      <c r="D9" s="638"/>
      <c r="E9" s="638"/>
      <c r="F9" s="638"/>
      <c r="G9" s="638"/>
      <c r="H9" s="638"/>
    </row>
    <row r="10" spans="1:8" ht="15" customHeight="1" x14ac:dyDescent="0.2">
      <c r="A10" s="637"/>
      <c r="B10" s="637"/>
      <c r="C10" s="637"/>
      <c r="D10" s="637"/>
      <c r="E10" s="637"/>
      <c r="F10" s="637"/>
      <c r="G10" s="637"/>
      <c r="H10" s="637"/>
    </row>
    <row r="11" spans="1:8" ht="18.75" customHeight="1" x14ac:dyDescent="0.2">
      <c r="A11" s="3"/>
      <c r="B11" s="3"/>
      <c r="C11" s="3"/>
      <c r="D11" s="3"/>
      <c r="E11" s="3"/>
      <c r="F11" s="3"/>
      <c r="G11" s="3"/>
      <c r="H11" s="3"/>
    </row>
    <row r="12" spans="1:8" ht="18.75" customHeight="1" x14ac:dyDescent="0.2">
      <c r="A12" s="3"/>
      <c r="B12" s="3"/>
      <c r="C12" s="3"/>
      <c r="D12" s="3"/>
      <c r="E12" s="3"/>
      <c r="F12" s="3"/>
      <c r="G12" s="3"/>
      <c r="H12" s="3"/>
    </row>
    <row r="13" spans="1:8" ht="18.75" customHeight="1" x14ac:dyDescent="0.2">
      <c r="A13" s="5"/>
      <c r="C13" s="629" t="s">
        <v>43</v>
      </c>
      <c r="D13" s="629"/>
      <c r="E13" s="344"/>
      <c r="F13" s="5"/>
      <c r="G13" s="629" t="s">
        <v>5</v>
      </c>
      <c r="H13" s="4"/>
    </row>
    <row r="14" spans="1:8" ht="18.75" customHeight="1" x14ac:dyDescent="0.2">
      <c r="A14" s="5"/>
      <c r="B14" s="147"/>
      <c r="C14" s="629"/>
      <c r="D14" s="629"/>
      <c r="E14" s="344"/>
      <c r="F14" s="5"/>
      <c r="G14" s="629" t="s">
        <v>5</v>
      </c>
      <c r="H14" s="4"/>
    </row>
    <row r="15" spans="1:8" ht="18.75" customHeight="1" x14ac:dyDescent="0.2">
      <c r="A15" s="5"/>
      <c r="B15" s="147"/>
      <c r="C15" s="629"/>
      <c r="D15" s="629"/>
      <c r="E15" s="344"/>
      <c r="F15" s="5"/>
      <c r="G15" s="629"/>
      <c r="H15" s="4"/>
    </row>
    <row r="16" spans="1:8" s="19" customFormat="1" ht="18.75" customHeight="1" x14ac:dyDescent="0.2">
      <c r="A16" s="16"/>
      <c r="B16" s="16"/>
      <c r="C16" s="16"/>
      <c r="D16" s="16"/>
      <c r="E16" s="16"/>
      <c r="F16" s="16"/>
      <c r="G16" s="17"/>
      <c r="H16" s="18"/>
    </row>
    <row r="17" spans="1:14" s="19" customFormat="1" ht="18.75" customHeight="1" x14ac:dyDescent="0.2">
      <c r="A17" s="16"/>
      <c r="B17" s="16"/>
      <c r="C17" s="16" t="s">
        <v>2</v>
      </c>
      <c r="F17" s="16"/>
      <c r="G17" s="174">
        <f>+'BZA DE COMP'!F62</f>
        <v>183047603</v>
      </c>
      <c r="H17" s="18"/>
      <c r="L17" s="381"/>
    </row>
    <row r="18" spans="1:14" s="19" customFormat="1" ht="18.75" customHeight="1" x14ac:dyDescent="0.2">
      <c r="A18" s="16"/>
      <c r="B18" s="16"/>
      <c r="C18" s="19" t="s">
        <v>925</v>
      </c>
      <c r="E18" s="358">
        <v>183047603</v>
      </c>
      <c r="H18" s="18"/>
      <c r="L18" s="381"/>
    </row>
    <row r="19" spans="1:14" s="19" customFormat="1" ht="18.75" customHeight="1" x14ac:dyDescent="0.2">
      <c r="A19" s="16"/>
      <c r="B19" s="16"/>
      <c r="C19" s="295" t="s">
        <v>36</v>
      </c>
      <c r="H19" s="18"/>
    </row>
    <row r="20" spans="1:14" s="19" customFormat="1" ht="18.75" customHeight="1" x14ac:dyDescent="0.2">
      <c r="A20" s="16"/>
      <c r="B20" s="16"/>
      <c r="C20" s="19" t="s">
        <v>910</v>
      </c>
      <c r="D20" s="520"/>
      <c r="E20" s="358"/>
      <c r="F20" s="16"/>
      <c r="H20" s="18"/>
      <c r="K20" s="381"/>
      <c r="L20" s="381"/>
    </row>
    <row r="21" spans="1:14" s="19" customFormat="1" ht="18.75" customHeight="1" x14ac:dyDescent="0.2">
      <c r="A21" s="295"/>
      <c r="B21" s="295"/>
      <c r="C21" s="295"/>
      <c r="D21" s="295" t="s">
        <v>911</v>
      </c>
      <c r="E21" s="358"/>
      <c r="H21" s="18"/>
      <c r="K21" s="381"/>
      <c r="L21" s="381"/>
    </row>
    <row r="22" spans="1:14" s="19" customFormat="1" ht="18.75" customHeight="1" x14ac:dyDescent="0.2">
      <c r="A22" s="295"/>
      <c r="B22" s="295"/>
      <c r="C22" s="295"/>
      <c r="D22" s="295" t="s">
        <v>912</v>
      </c>
      <c r="E22" s="358"/>
      <c r="H22" s="18"/>
      <c r="K22" s="381"/>
      <c r="L22" s="381"/>
    </row>
    <row r="23" spans="1:14" s="295" customFormat="1" ht="18.75" customHeight="1" x14ac:dyDescent="0.2">
      <c r="D23" s="295" t="s">
        <v>944</v>
      </c>
      <c r="E23" s="358"/>
      <c r="H23" s="18"/>
      <c r="K23" s="478"/>
      <c r="L23" s="478"/>
    </row>
    <row r="24" spans="1:14" s="295" customFormat="1" ht="18.75" customHeight="1" x14ac:dyDescent="0.2">
      <c r="C24" s="19" t="s">
        <v>924</v>
      </c>
      <c r="D24" s="19"/>
      <c r="E24" s="19"/>
      <c r="F24" s="19"/>
      <c r="G24" s="19"/>
      <c r="H24" s="18"/>
      <c r="K24" s="478"/>
      <c r="L24" s="478"/>
    </row>
    <row r="25" spans="1:14" s="295" customFormat="1" ht="18.75" customHeight="1" x14ac:dyDescent="0.2">
      <c r="D25" s="520" t="s">
        <v>915</v>
      </c>
      <c r="E25" s="374"/>
      <c r="H25" s="18"/>
      <c r="K25" s="478"/>
      <c r="L25" s="478"/>
    </row>
    <row r="26" spans="1:14" s="295" customFormat="1" ht="18.75" customHeight="1" x14ac:dyDescent="0.2">
      <c r="H26" s="18"/>
      <c r="K26" s="478"/>
      <c r="L26" s="478"/>
    </row>
    <row r="27" spans="1:14" s="295" customFormat="1" ht="18.75" customHeight="1" x14ac:dyDescent="0.2">
      <c r="C27" s="16" t="s">
        <v>36</v>
      </c>
      <c r="D27" s="19"/>
      <c r="E27" s="19"/>
      <c r="G27" s="300">
        <f>SUM(E29:E39)</f>
        <v>2407777</v>
      </c>
      <c r="H27" s="18"/>
      <c r="K27" s="478"/>
      <c r="L27" s="478"/>
    </row>
    <row r="28" spans="1:14" s="295" customFormat="1" ht="18.75" customHeight="1" x14ac:dyDescent="0.2">
      <c r="C28" s="19" t="s">
        <v>909</v>
      </c>
      <c r="D28" s="19"/>
      <c r="E28" s="19"/>
      <c r="H28" s="18"/>
      <c r="K28" s="478"/>
      <c r="L28" s="478"/>
      <c r="M28" s="478"/>
      <c r="N28" s="478"/>
    </row>
    <row r="29" spans="1:14" s="295" customFormat="1" ht="18.75" customHeight="1" x14ac:dyDescent="0.2">
      <c r="C29" s="19"/>
      <c r="D29" s="520" t="s">
        <v>904</v>
      </c>
      <c r="E29" s="358"/>
      <c r="H29" s="18"/>
      <c r="K29" s="478"/>
      <c r="L29" s="478"/>
      <c r="M29" s="478"/>
      <c r="N29" s="478"/>
    </row>
    <row r="30" spans="1:14" s="19" customFormat="1" ht="18.75" customHeight="1" x14ac:dyDescent="0.2">
      <c r="A30" s="16"/>
      <c r="B30" s="295"/>
      <c r="D30" s="520" t="s">
        <v>905</v>
      </c>
      <c r="E30" s="358"/>
      <c r="F30" s="295"/>
      <c r="G30" s="295"/>
      <c r="H30" s="18"/>
      <c r="K30" s="381"/>
      <c r="L30" s="381"/>
      <c r="M30" s="381"/>
      <c r="N30" s="381"/>
    </row>
    <row r="31" spans="1:14" s="19" customFormat="1" ht="18.75" customHeight="1" x14ac:dyDescent="0.2">
      <c r="A31" s="16"/>
      <c r="C31" s="295"/>
      <c r="D31" s="520" t="s">
        <v>906</v>
      </c>
      <c r="E31" s="358"/>
      <c r="F31" s="295"/>
      <c r="G31" s="295"/>
      <c r="H31" s="18"/>
      <c r="K31" s="381"/>
      <c r="L31" s="381"/>
      <c r="M31" s="381"/>
      <c r="N31" s="381"/>
    </row>
    <row r="32" spans="1:14" s="19" customFormat="1" ht="18.75" customHeight="1" x14ac:dyDescent="0.2">
      <c r="A32" s="16"/>
      <c r="C32" s="295"/>
      <c r="D32" s="520" t="s">
        <v>907</v>
      </c>
      <c r="E32" s="358"/>
      <c r="H32" s="18"/>
      <c r="K32" s="381"/>
      <c r="L32" s="381"/>
      <c r="M32" s="381"/>
      <c r="N32" s="381"/>
    </row>
    <row r="33" spans="1:14" s="19" customFormat="1" ht="18.75" customHeight="1" x14ac:dyDescent="0.2">
      <c r="A33" s="16"/>
      <c r="C33" s="295"/>
      <c r="D33" s="520" t="s">
        <v>908</v>
      </c>
      <c r="E33" s="358">
        <v>2006179</v>
      </c>
      <c r="H33" s="18"/>
      <c r="K33" s="381"/>
      <c r="L33" s="381"/>
      <c r="M33" s="381"/>
      <c r="N33" s="381"/>
    </row>
    <row r="34" spans="1:14" s="19" customFormat="1" ht="18.75" customHeight="1" x14ac:dyDescent="0.2">
      <c r="A34" s="16"/>
      <c r="D34" s="520" t="s">
        <v>945</v>
      </c>
      <c r="E34" s="358"/>
      <c r="H34" s="18"/>
      <c r="K34" s="381"/>
      <c r="L34" s="381"/>
      <c r="M34" s="381"/>
      <c r="N34" s="381"/>
    </row>
    <row r="35" spans="1:14" s="19" customFormat="1" ht="18.75" customHeight="1" x14ac:dyDescent="0.2">
      <c r="A35" s="16"/>
      <c r="D35" s="520" t="s">
        <v>958</v>
      </c>
      <c r="E35" s="358"/>
      <c r="K35" s="381"/>
      <c r="L35" s="381"/>
      <c r="M35" s="381"/>
      <c r="N35" s="381"/>
    </row>
    <row r="36" spans="1:14" s="19" customFormat="1" ht="18.75" customHeight="1" x14ac:dyDescent="0.2">
      <c r="A36" s="16"/>
      <c r="D36" s="19" t="s">
        <v>959</v>
      </c>
      <c r="E36" s="358" t="s">
        <v>975</v>
      </c>
      <c r="K36" s="381"/>
      <c r="L36" s="381"/>
      <c r="M36" s="381"/>
      <c r="N36" s="381"/>
    </row>
    <row r="37" spans="1:14" s="19" customFormat="1" ht="18.75" customHeight="1" x14ac:dyDescent="0.2">
      <c r="A37" s="16"/>
      <c r="H37" s="18"/>
      <c r="L37" s="381"/>
    </row>
    <row r="38" spans="1:14" s="19" customFormat="1" ht="18.75" customHeight="1" x14ac:dyDescent="0.2">
      <c r="A38" s="16"/>
      <c r="C38" s="19" t="s">
        <v>924</v>
      </c>
      <c r="D38" s="295"/>
      <c r="E38" s="358"/>
      <c r="H38" s="18"/>
      <c r="L38" s="381"/>
    </row>
    <row r="39" spans="1:14" s="19" customFormat="1" ht="18.75" customHeight="1" x14ac:dyDescent="0.2">
      <c r="A39" s="16"/>
      <c r="D39" s="520" t="s">
        <v>914</v>
      </c>
      <c r="E39" s="374">
        <v>401598</v>
      </c>
      <c r="H39" s="18"/>
      <c r="L39" s="381"/>
    </row>
    <row r="40" spans="1:14" s="19" customFormat="1" ht="18.75" customHeight="1" x14ac:dyDescent="0.2">
      <c r="A40" s="16"/>
      <c r="D40" s="520"/>
      <c r="E40" s="228"/>
      <c r="H40" s="18"/>
      <c r="L40" s="381"/>
    </row>
    <row r="41" spans="1:14" s="19" customFormat="1" ht="18.75" customHeight="1" x14ac:dyDescent="0.2">
      <c r="A41" s="16"/>
      <c r="C41" s="16" t="s">
        <v>3</v>
      </c>
      <c r="F41" s="16"/>
      <c r="G41" s="174">
        <f>+'BZA DE COMP'!F64</f>
        <v>2821908569</v>
      </c>
      <c r="H41" s="18"/>
      <c r="L41" s="381"/>
    </row>
    <row r="42" spans="1:14" s="19" customFormat="1" ht="18.75" customHeight="1" x14ac:dyDescent="0.2">
      <c r="A42" s="16"/>
      <c r="C42" s="16"/>
      <c r="D42" s="19" t="s">
        <v>903</v>
      </c>
      <c r="E42" s="228">
        <v>2821908569</v>
      </c>
      <c r="H42" s="18"/>
      <c r="L42" s="381"/>
    </row>
    <row r="43" spans="1:14" s="19" customFormat="1" ht="18.75" customHeight="1" x14ac:dyDescent="0.2">
      <c r="A43" s="295"/>
      <c r="C43" s="295"/>
      <c r="E43" s="228"/>
      <c r="H43" s="18"/>
      <c r="L43" s="381"/>
    </row>
    <row r="44" spans="1:14" s="19" customFormat="1" ht="18.75" customHeight="1" x14ac:dyDescent="0.2">
      <c r="A44" s="16"/>
      <c r="D44" s="19" t="s">
        <v>946</v>
      </c>
      <c r="E44" s="228">
        <v>-166666</v>
      </c>
      <c r="H44" s="18"/>
      <c r="L44" s="381"/>
    </row>
    <row r="45" spans="1:14" s="19" customFormat="1" ht="18.75" customHeight="1" x14ac:dyDescent="0.2">
      <c r="A45" s="16"/>
      <c r="C45" s="16"/>
      <c r="D45" s="19" t="s">
        <v>947</v>
      </c>
      <c r="E45" s="374"/>
      <c r="G45" s="233">
        <f>+E45+E44</f>
        <v>-166666</v>
      </c>
      <c r="H45" s="18"/>
      <c r="L45" s="381"/>
    </row>
    <row r="46" spans="1:14" s="19" customFormat="1" ht="18.75" customHeight="1" x14ac:dyDescent="0.2">
      <c r="A46" s="16"/>
      <c r="B46" s="16"/>
      <c r="H46" s="18"/>
      <c r="L46" s="381"/>
    </row>
    <row r="47" spans="1:14" s="19" customFormat="1" ht="18.75" customHeight="1" x14ac:dyDescent="0.2">
      <c r="A47" s="16"/>
      <c r="B47" s="16"/>
      <c r="C47" s="175" t="s">
        <v>61</v>
      </c>
      <c r="E47" s="18"/>
      <c r="F47" s="16"/>
      <c r="G47" s="174">
        <f>+'BZA DE COMP'!F65</f>
        <v>0</v>
      </c>
      <c r="H47" s="18"/>
      <c r="L47" s="381"/>
    </row>
    <row r="48" spans="1:14" s="19" customFormat="1" ht="18.75" customHeight="1" x14ac:dyDescent="0.2">
      <c r="A48" s="16"/>
      <c r="B48" s="16"/>
      <c r="E48" s="18"/>
      <c r="H48" s="18"/>
      <c r="L48" s="381"/>
    </row>
    <row r="49" spans="1:12" s="19" customFormat="1" ht="18.75" customHeight="1" x14ac:dyDescent="0.2">
      <c r="A49" s="16"/>
      <c r="B49" s="16"/>
      <c r="C49" s="175" t="s">
        <v>10</v>
      </c>
      <c r="E49" s="18"/>
      <c r="F49" s="16"/>
      <c r="G49" s="174">
        <f>+'BZA DE COMP'!F66-'BZA DE COMP'!E66</f>
        <v>127022</v>
      </c>
      <c r="H49" s="18"/>
      <c r="L49" s="381"/>
    </row>
    <row r="50" spans="1:12" s="19" customFormat="1" ht="18.75" customHeight="1" x14ac:dyDescent="0.2">
      <c r="A50" s="16"/>
      <c r="B50" s="16"/>
      <c r="C50" s="295"/>
      <c r="D50" s="295"/>
      <c r="E50" s="358"/>
      <c r="H50" s="18"/>
      <c r="L50" s="381"/>
    </row>
    <row r="51" spans="1:12" s="19" customFormat="1" ht="18.75" customHeight="1" x14ac:dyDescent="0.2">
      <c r="A51" s="16"/>
      <c r="B51" s="16"/>
      <c r="C51" s="20" t="s">
        <v>11</v>
      </c>
      <c r="E51" s="164"/>
      <c r="F51" s="20"/>
      <c r="G51" s="174">
        <f>+'BZA DE COMP'!F67</f>
        <v>7220867</v>
      </c>
      <c r="H51" s="18"/>
      <c r="L51" s="381"/>
    </row>
    <row r="52" spans="1:12" s="19" customFormat="1" ht="18.75" customHeight="1" x14ac:dyDescent="0.2">
      <c r="A52" s="16"/>
      <c r="B52" s="16"/>
      <c r="C52" s="16"/>
      <c r="D52" s="16"/>
      <c r="E52" s="16"/>
      <c r="F52" s="16"/>
      <c r="G52" s="17"/>
      <c r="H52" s="18"/>
      <c r="L52" s="381"/>
    </row>
    <row r="53" spans="1:12" s="173" customFormat="1" ht="18.75" customHeight="1" x14ac:dyDescent="0.25">
      <c r="A53" s="21"/>
      <c r="B53" s="636"/>
      <c r="C53" s="636"/>
      <c r="D53" s="636"/>
      <c r="E53" s="347"/>
      <c r="F53" s="21"/>
      <c r="G53" s="347">
        <f>+G17++G27+G41+G47+G49+G51+G45</f>
        <v>3014545172</v>
      </c>
      <c r="H53" s="161"/>
      <c r="L53" s="386"/>
    </row>
    <row r="54" spans="1:12" s="19" customFormat="1" ht="18.75" customHeight="1" x14ac:dyDescent="0.2">
      <c r="A54" s="22" t="s">
        <v>4</v>
      </c>
      <c r="B54" s="22"/>
      <c r="C54" s="22"/>
      <c r="D54" s="22"/>
      <c r="E54" s="22"/>
      <c r="F54" s="22"/>
      <c r="G54" s="22"/>
      <c r="H54" s="22"/>
      <c r="L54" s="381"/>
    </row>
    <row r="55" spans="1:12" s="24" customFormat="1" ht="16.5" customHeight="1" x14ac:dyDescent="0.2">
      <c r="A55" s="23"/>
      <c r="B55" s="23"/>
      <c r="C55" s="23"/>
      <c r="D55" s="23"/>
      <c r="E55" s="23"/>
      <c r="F55" s="23"/>
      <c r="G55" s="176">
        <f>+'EDO ING Y EGR'!K32-'INGRESOS BIMESTRAL'!G53</f>
        <v>0</v>
      </c>
      <c r="H55" s="25"/>
      <c r="L55" s="446"/>
    </row>
    <row r="56" spans="1:12" x14ac:dyDescent="0.2">
      <c r="A56" s="6"/>
      <c r="B56" s="6"/>
      <c r="C56" s="6"/>
      <c r="D56" s="6"/>
      <c r="E56" s="6"/>
      <c r="F56" s="6"/>
      <c r="G56" s="6"/>
      <c r="H56" s="6"/>
    </row>
    <row r="57" spans="1:12" ht="15" x14ac:dyDescent="0.2">
      <c r="A57" s="6"/>
      <c r="B57" s="6"/>
      <c r="C57" s="6"/>
      <c r="D57" s="6"/>
      <c r="E57" s="6"/>
      <c r="F57" s="6"/>
      <c r="G57" s="26"/>
      <c r="H57" s="6"/>
    </row>
    <row r="58" spans="1:12" x14ac:dyDescent="0.2">
      <c r="A58" s="6"/>
      <c r="B58" s="6"/>
      <c r="C58" s="6"/>
      <c r="D58" s="6"/>
      <c r="E58" s="6"/>
      <c r="F58" s="6"/>
      <c r="G58" s="555"/>
      <c r="H58" s="6"/>
    </row>
    <row r="59" spans="1:12" x14ac:dyDescent="0.2">
      <c r="A59" s="6"/>
      <c r="B59" s="6"/>
      <c r="C59" s="6"/>
      <c r="D59" s="6"/>
      <c r="E59" s="6"/>
      <c r="F59" s="6"/>
      <c r="G59" s="6"/>
      <c r="H59" s="6"/>
    </row>
    <row r="60" spans="1:12" x14ac:dyDescent="0.2">
      <c r="A60" s="6"/>
      <c r="B60" s="6"/>
      <c r="C60" s="6"/>
      <c r="D60" s="6"/>
      <c r="E60" s="6"/>
      <c r="F60" s="6"/>
      <c r="G60" s="10"/>
      <c r="H60" s="6"/>
    </row>
    <row r="61" spans="1:12" x14ac:dyDescent="0.2">
      <c r="A61" s="6"/>
      <c r="B61" s="6"/>
      <c r="C61" s="6"/>
      <c r="D61" s="6"/>
      <c r="E61" s="6"/>
      <c r="F61" s="6"/>
      <c r="G61" s="6"/>
      <c r="H61" s="6"/>
    </row>
    <row r="62" spans="1:12" x14ac:dyDescent="0.2">
      <c r="A62" s="6"/>
      <c r="B62" s="6"/>
      <c r="C62" s="6"/>
      <c r="D62" s="6"/>
      <c r="E62" s="6"/>
      <c r="F62" s="6"/>
      <c r="G62" s="6"/>
      <c r="H62" s="6"/>
    </row>
    <row r="63" spans="1:12" x14ac:dyDescent="0.2">
      <c r="A63" s="6"/>
      <c r="B63" s="6"/>
      <c r="C63" s="6"/>
      <c r="D63" s="6"/>
      <c r="E63" s="6"/>
      <c r="F63" s="6"/>
      <c r="G63" s="10"/>
      <c r="H63" s="6"/>
    </row>
    <row r="64" spans="1:12" x14ac:dyDescent="0.2">
      <c r="A64" s="6"/>
      <c r="B64" s="6"/>
      <c r="C64" s="6"/>
      <c r="D64" s="6"/>
      <c r="E64" s="6"/>
      <c r="F64" s="6"/>
      <c r="G64" s="6"/>
      <c r="H64" s="6"/>
    </row>
    <row r="65" spans="1:8" x14ac:dyDescent="0.2">
      <c r="A65" s="6"/>
      <c r="B65" s="6"/>
      <c r="C65" s="6"/>
      <c r="D65" s="6"/>
      <c r="E65" s="6"/>
      <c r="F65" s="6"/>
      <c r="G65" s="6"/>
      <c r="H65" s="6"/>
    </row>
    <row r="66" spans="1:8" x14ac:dyDescent="0.2">
      <c r="A66" s="6"/>
      <c r="B66" s="6"/>
      <c r="C66" s="6"/>
      <c r="D66" s="6"/>
      <c r="E66" s="6"/>
      <c r="F66" s="6"/>
      <c r="G66" s="6"/>
      <c r="H66" s="6"/>
    </row>
    <row r="67" spans="1:8" x14ac:dyDescent="0.2">
      <c r="A67" s="6"/>
      <c r="B67" s="6"/>
      <c r="C67" s="6"/>
      <c r="D67" s="6"/>
      <c r="E67" s="6"/>
      <c r="F67" s="6"/>
      <c r="G67" s="6"/>
      <c r="H67" s="6"/>
    </row>
    <row r="68" spans="1:8" x14ac:dyDescent="0.2">
      <c r="A68" s="6"/>
      <c r="B68" s="6"/>
      <c r="C68" s="6"/>
      <c r="D68" s="6"/>
      <c r="E68" s="6"/>
      <c r="F68" s="6"/>
      <c r="G68" s="6"/>
      <c r="H68" s="6"/>
    </row>
    <row r="69" spans="1:8" x14ac:dyDescent="0.2">
      <c r="A69" s="6"/>
      <c r="B69" s="6"/>
      <c r="C69" s="6"/>
      <c r="D69" s="6"/>
      <c r="E69" s="6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12" x14ac:dyDescent="0.2">
      <c r="A81" s="6"/>
      <c r="B81" s="6"/>
      <c r="C81" s="6"/>
      <c r="D81" s="6"/>
      <c r="E81" s="6"/>
      <c r="F81" s="6"/>
      <c r="G81" s="6"/>
      <c r="H81" s="6"/>
    </row>
    <row r="82" spans="1:12" x14ac:dyDescent="0.2">
      <c r="A82" s="6"/>
      <c r="B82" s="6"/>
      <c r="C82" s="6"/>
      <c r="D82" s="6"/>
      <c r="E82" s="6"/>
      <c r="F82" s="6"/>
      <c r="G82" s="6"/>
      <c r="H82" s="6"/>
    </row>
    <row r="83" spans="1:12" x14ac:dyDescent="0.2">
      <c r="A83" s="6"/>
      <c r="B83" s="6"/>
      <c r="C83" s="6"/>
      <c r="D83" s="6"/>
      <c r="E83" s="6"/>
      <c r="F83" s="6"/>
      <c r="G83" s="6"/>
      <c r="H83" s="6"/>
    </row>
    <row r="84" spans="1:12" x14ac:dyDescent="0.2">
      <c r="A84" s="6"/>
      <c r="B84" s="6"/>
      <c r="C84" s="6"/>
      <c r="D84" s="6"/>
      <c r="E84" s="6"/>
      <c r="F84" s="6"/>
      <c r="G84" s="6"/>
      <c r="H84" s="6"/>
    </row>
    <row r="85" spans="1:12" x14ac:dyDescent="0.2">
      <c r="A85" s="6"/>
      <c r="B85" s="6"/>
      <c r="C85" s="6"/>
      <c r="D85" s="6"/>
      <c r="E85" s="6"/>
      <c r="F85" s="6"/>
      <c r="G85" s="6"/>
      <c r="H85" s="6"/>
    </row>
    <row r="86" spans="1:12" x14ac:dyDescent="0.2">
      <c r="A86" s="6"/>
      <c r="B86" s="6"/>
      <c r="C86" s="6"/>
      <c r="D86" s="6"/>
      <c r="E86" s="6"/>
      <c r="F86" s="6"/>
      <c r="G86" s="6"/>
      <c r="H86" s="6"/>
    </row>
    <row r="87" spans="1:12" x14ac:dyDescent="0.2">
      <c r="A87" s="11"/>
      <c r="B87" s="11"/>
      <c r="C87" s="11"/>
      <c r="D87" s="11"/>
      <c r="E87" s="11"/>
      <c r="F87" s="11"/>
      <c r="G87" s="11"/>
      <c r="H87" s="11"/>
    </row>
    <row r="88" spans="1:12" s="1" customFormat="1" x14ac:dyDescent="0.2">
      <c r="A88" s="7"/>
      <c r="B88" s="7"/>
      <c r="C88" s="7"/>
      <c r="D88" s="7"/>
      <c r="E88" s="7"/>
      <c r="F88" s="7"/>
      <c r="G88" s="7"/>
      <c r="H88" s="7"/>
      <c r="L88" s="447"/>
    </row>
    <row r="89" spans="1:12" s="1" customFormat="1" x14ac:dyDescent="0.2">
      <c r="A89" s="9"/>
      <c r="B89" s="9"/>
      <c r="C89" s="9"/>
      <c r="D89" s="9"/>
      <c r="E89" s="9"/>
      <c r="F89" s="9"/>
      <c r="G89" s="9"/>
      <c r="H89" s="9"/>
      <c r="L89" s="447"/>
    </row>
    <row r="90" spans="1:12" s="1" customFormat="1" ht="15" x14ac:dyDescent="0.25">
      <c r="A90" s="12"/>
      <c r="B90" s="12"/>
      <c r="C90" s="12"/>
      <c r="D90" s="12"/>
      <c r="E90" s="12"/>
      <c r="F90" s="12"/>
      <c r="G90" s="12"/>
      <c r="H90" s="12"/>
      <c r="L90" s="447"/>
    </row>
    <row r="91" spans="1:12" s="8" customFormat="1" x14ac:dyDescent="0.2">
      <c r="A91" s="9"/>
      <c r="B91" s="9"/>
      <c r="C91" s="9"/>
      <c r="D91" s="9"/>
      <c r="E91" s="9"/>
      <c r="F91" s="9"/>
      <c r="G91" s="9"/>
      <c r="H91" s="9"/>
      <c r="I91" s="13"/>
      <c r="L91" s="448"/>
    </row>
    <row r="92" spans="1:12" s="1" customFormat="1" x14ac:dyDescent="0.2">
      <c r="A92" s="14"/>
      <c r="B92" s="14"/>
      <c r="C92" s="14"/>
      <c r="D92" s="14"/>
      <c r="E92" s="14"/>
      <c r="F92" s="14"/>
      <c r="G92" s="14"/>
      <c r="H92" s="14"/>
      <c r="L92" s="447"/>
    </row>
    <row r="93" spans="1:12" s="1" customFormat="1" x14ac:dyDescent="0.2">
      <c r="A93" s="15"/>
      <c r="B93" s="15"/>
      <c r="C93" s="15"/>
      <c r="D93" s="15"/>
      <c r="E93" s="15"/>
      <c r="F93" s="15"/>
      <c r="G93" s="15"/>
      <c r="H93" s="15"/>
      <c r="L93" s="447"/>
    </row>
    <row r="94" spans="1:12" s="1" customFormat="1" x14ac:dyDescent="0.2">
      <c r="A94" s="15"/>
      <c r="B94" s="15"/>
      <c r="C94" s="15"/>
      <c r="D94" s="15"/>
      <c r="E94" s="15"/>
      <c r="F94" s="15"/>
      <c r="G94" s="15"/>
      <c r="H94" s="15"/>
      <c r="L94" s="447"/>
    </row>
    <row r="95" spans="1:12" x14ac:dyDescent="0.2">
      <c r="A95" s="11"/>
      <c r="B95" s="11"/>
      <c r="C95" s="11"/>
      <c r="D95" s="11"/>
      <c r="E95" s="11"/>
      <c r="F95" s="11"/>
      <c r="G95" s="11"/>
      <c r="H95" s="11"/>
    </row>
    <row r="96" spans="1:12" x14ac:dyDescent="0.2">
      <c r="A96" s="11"/>
      <c r="B96" s="11"/>
      <c r="C96" s="11"/>
      <c r="D96" s="11"/>
      <c r="E96" s="11"/>
      <c r="F96" s="11"/>
      <c r="G96" s="11"/>
      <c r="H96" s="11"/>
    </row>
    <row r="97" spans="1:8" x14ac:dyDescent="0.2">
      <c r="A97" s="11"/>
      <c r="B97" s="11"/>
      <c r="C97" s="11"/>
      <c r="D97" s="11"/>
      <c r="E97" s="11"/>
      <c r="F97" s="11"/>
      <c r="G97" s="11"/>
      <c r="H97" s="11"/>
    </row>
    <row r="98" spans="1:8" x14ac:dyDescent="0.2">
      <c r="A98" s="11"/>
      <c r="B98" s="11"/>
      <c r="C98" s="11"/>
      <c r="D98" s="11"/>
      <c r="E98" s="11"/>
      <c r="F98" s="11"/>
      <c r="G98" s="11"/>
      <c r="H98" s="11"/>
    </row>
    <row r="99" spans="1:8" x14ac:dyDescent="0.2">
      <c r="A99" s="11"/>
      <c r="B99" s="11"/>
      <c r="C99" s="11"/>
      <c r="D99" s="11"/>
      <c r="E99" s="11"/>
      <c r="F99" s="11"/>
      <c r="G99" s="11"/>
      <c r="H99" s="11"/>
    </row>
    <row r="100" spans="1:8" x14ac:dyDescent="0.2">
      <c r="A100" s="11"/>
      <c r="B100" s="11"/>
      <c r="C100" s="11"/>
      <c r="D100" s="11"/>
      <c r="E100" s="11"/>
      <c r="F100" s="11"/>
      <c r="G100" s="11"/>
      <c r="H100" s="11"/>
    </row>
    <row r="101" spans="1:8" x14ac:dyDescent="0.2">
      <c r="A101" s="11"/>
      <c r="B101" s="11"/>
      <c r="C101" s="11"/>
      <c r="D101" s="11"/>
      <c r="E101" s="11"/>
      <c r="F101" s="11"/>
      <c r="G101" s="11"/>
      <c r="H101" s="11"/>
    </row>
    <row r="102" spans="1:8" x14ac:dyDescent="0.2">
      <c r="A102" s="11"/>
      <c r="B102" s="11"/>
      <c r="C102" s="11"/>
      <c r="D102" s="11"/>
      <c r="E102" s="11"/>
      <c r="F102" s="11"/>
      <c r="G102" s="11"/>
      <c r="H102" s="11"/>
    </row>
    <row r="103" spans="1:8" x14ac:dyDescent="0.2">
      <c r="A103" s="11"/>
      <c r="B103" s="11"/>
      <c r="C103" s="11"/>
      <c r="D103" s="11"/>
      <c r="E103" s="11"/>
      <c r="F103" s="11"/>
      <c r="G103" s="11"/>
      <c r="H103" s="11"/>
    </row>
  </sheetData>
  <mergeCells count="9">
    <mergeCell ref="A3:H3"/>
    <mergeCell ref="A4:H4"/>
    <mergeCell ref="A7:H7"/>
    <mergeCell ref="A8:H8"/>
    <mergeCell ref="B53:D53"/>
    <mergeCell ref="C13:D15"/>
    <mergeCell ref="A9:H9"/>
    <mergeCell ref="A10:H10"/>
    <mergeCell ref="G13:G15"/>
  </mergeCells>
  <phoneticPr fontId="10" type="noConversion"/>
  <printOptions horizontalCentered="1" verticalCentered="1"/>
  <pageMargins left="0.78740157480314965" right="0.78740157480314965" top="0.59055118110236227" bottom="0.59055118110236227" header="0" footer="0"/>
  <pageSetup scale="7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7"/>
  <sheetViews>
    <sheetView topLeftCell="A25" workbookViewId="0">
      <selection activeCell="G44" sqref="G44"/>
    </sheetView>
  </sheetViews>
  <sheetFormatPr baseColWidth="10" defaultRowHeight="12.75" x14ac:dyDescent="0.2"/>
  <cols>
    <col min="1" max="3" width="4.28515625" customWidth="1"/>
    <col min="4" max="4" width="64.28515625" customWidth="1"/>
    <col min="5" max="5" width="20.7109375" customWidth="1"/>
    <col min="6" max="6" width="4.28515625" customWidth="1"/>
    <col min="7" max="7" width="21.42578125" customWidth="1"/>
    <col min="8" max="8" width="4.28515625" customWidth="1"/>
    <col min="9" max="9" width="8.85546875" customWidth="1"/>
    <col min="10" max="11" width="18.7109375" bestFit="1" customWidth="1"/>
  </cols>
  <sheetData>
    <row r="2" spans="1:8" ht="15" customHeight="1" x14ac:dyDescent="0.2"/>
    <row r="3" spans="1:8" ht="25.5" customHeight="1" x14ac:dyDescent="0.2">
      <c r="A3" s="634" t="s">
        <v>0</v>
      </c>
      <c r="B3" s="634"/>
      <c r="C3" s="634"/>
      <c r="D3" s="634"/>
      <c r="E3" s="634"/>
      <c r="F3" s="634"/>
      <c r="G3" s="634"/>
      <c r="H3" s="634"/>
    </row>
    <row r="4" spans="1:8" ht="25.5" customHeight="1" x14ac:dyDescent="0.2">
      <c r="A4" s="635" t="s">
        <v>106</v>
      </c>
      <c r="B4" s="635"/>
      <c r="C4" s="635"/>
      <c r="D4" s="635"/>
      <c r="E4" s="635"/>
      <c r="F4" s="635"/>
      <c r="G4" s="635"/>
      <c r="H4" s="635"/>
    </row>
    <row r="5" spans="1:8" ht="15" customHeight="1" x14ac:dyDescent="0.25">
      <c r="A5" s="2"/>
      <c r="B5" s="2"/>
      <c r="C5" s="2"/>
      <c r="D5" s="2"/>
      <c r="E5" s="2"/>
      <c r="F5" s="2"/>
      <c r="G5" s="2"/>
      <c r="H5" s="2"/>
    </row>
    <row r="6" spans="1:8" ht="15" customHeight="1" x14ac:dyDescent="0.25">
      <c r="A6" s="2"/>
      <c r="B6" s="2"/>
      <c r="C6" s="2"/>
      <c r="D6" s="2"/>
      <c r="E6" s="2"/>
      <c r="F6" s="2"/>
      <c r="G6" s="2"/>
      <c r="H6" s="2"/>
    </row>
    <row r="7" spans="1:8" ht="15" customHeight="1" x14ac:dyDescent="0.25">
      <c r="A7" s="638" t="s">
        <v>682</v>
      </c>
      <c r="B7" s="638"/>
      <c r="C7" s="638"/>
      <c r="D7" s="638"/>
      <c r="E7" s="638"/>
      <c r="F7" s="638"/>
      <c r="G7" s="638"/>
      <c r="H7" s="638"/>
    </row>
    <row r="8" spans="1:8" ht="15" customHeight="1" x14ac:dyDescent="0.25">
      <c r="A8" s="638" t="s">
        <v>971</v>
      </c>
      <c r="B8" s="638"/>
      <c r="C8" s="638"/>
      <c r="D8" s="638"/>
      <c r="E8" s="638"/>
      <c r="F8" s="638"/>
      <c r="G8" s="638"/>
      <c r="H8" s="638"/>
    </row>
    <row r="9" spans="1:8" ht="15" customHeight="1" x14ac:dyDescent="0.25">
      <c r="A9" s="638" t="s">
        <v>1</v>
      </c>
      <c r="B9" s="638"/>
      <c r="C9" s="638"/>
      <c r="D9" s="638"/>
      <c r="E9" s="638"/>
      <c r="F9" s="638"/>
      <c r="G9" s="638"/>
      <c r="H9" s="638"/>
    </row>
    <row r="10" spans="1:8" ht="15" customHeight="1" x14ac:dyDescent="0.2">
      <c r="A10" s="637"/>
      <c r="B10" s="637"/>
      <c r="C10" s="637"/>
      <c r="D10" s="637"/>
      <c r="E10" s="637"/>
      <c r="F10" s="637"/>
      <c r="G10" s="637"/>
      <c r="H10" s="637"/>
    </row>
    <row r="11" spans="1:8" ht="18.75" customHeight="1" x14ac:dyDescent="0.2">
      <c r="A11" s="372"/>
      <c r="B11" s="372"/>
      <c r="C11" s="372"/>
      <c r="D11" s="372"/>
      <c r="E11" s="372"/>
      <c r="F11" s="372"/>
      <c r="G11" s="372"/>
      <c r="H11" s="372"/>
    </row>
    <row r="12" spans="1:8" ht="18.75" customHeight="1" x14ac:dyDescent="0.2">
      <c r="A12" s="372"/>
      <c r="B12" s="372"/>
      <c r="C12" s="372"/>
      <c r="D12" s="372"/>
      <c r="E12" s="372"/>
      <c r="F12" s="372"/>
      <c r="G12" s="372"/>
      <c r="H12" s="372"/>
    </row>
    <row r="13" spans="1:8" ht="18.75" customHeight="1" x14ac:dyDescent="0.2">
      <c r="A13" s="5"/>
      <c r="C13" s="629" t="s">
        <v>43</v>
      </c>
      <c r="D13" s="629"/>
      <c r="E13" s="371"/>
      <c r="F13" s="5"/>
      <c r="G13" s="629" t="s">
        <v>5</v>
      </c>
      <c r="H13" s="4"/>
    </row>
    <row r="14" spans="1:8" ht="18.75" customHeight="1" x14ac:dyDescent="0.2">
      <c r="A14" s="5"/>
      <c r="B14" s="147"/>
      <c r="C14" s="629"/>
      <c r="D14" s="629"/>
      <c r="E14" s="371"/>
      <c r="F14" s="5"/>
      <c r="G14" s="629" t="s">
        <v>5</v>
      </c>
      <c r="H14" s="4"/>
    </row>
    <row r="15" spans="1:8" ht="18.75" customHeight="1" x14ac:dyDescent="0.2">
      <c r="A15" s="5"/>
      <c r="B15" s="147"/>
      <c r="C15" s="629"/>
      <c r="D15" s="629"/>
      <c r="E15" s="371"/>
      <c r="F15" s="5"/>
      <c r="G15" s="629"/>
      <c r="H15" s="4"/>
    </row>
    <row r="16" spans="1:8" s="19" customFormat="1" ht="18.75" customHeight="1" x14ac:dyDescent="0.2">
      <c r="A16" s="295"/>
      <c r="B16" s="295"/>
      <c r="C16" s="295"/>
      <c r="D16" s="295"/>
      <c r="E16" s="295"/>
      <c r="F16" s="295"/>
      <c r="G16" s="17"/>
      <c r="H16" s="18"/>
    </row>
    <row r="17" spans="1:13" s="19" customFormat="1" ht="18.75" customHeight="1" x14ac:dyDescent="0.2">
      <c r="A17" s="295"/>
      <c r="B17" s="295"/>
      <c r="C17" s="295" t="s">
        <v>2</v>
      </c>
      <c r="F17" s="295"/>
      <c r="G17" s="174">
        <f>+'BZA DE COMP'!H62</f>
        <v>478997932</v>
      </c>
      <c r="H17" s="18"/>
    </row>
    <row r="18" spans="1:13" s="19" customFormat="1" ht="18.75" customHeight="1" x14ac:dyDescent="0.2">
      <c r="A18" s="295"/>
      <c r="B18" s="295"/>
      <c r="C18" s="19" t="s">
        <v>925</v>
      </c>
      <c r="E18" s="358">
        <f>159613258+5121438+125329703+183047603</f>
        <v>473112002</v>
      </c>
      <c r="H18" s="18"/>
    </row>
    <row r="19" spans="1:13" s="19" customFormat="1" ht="18.75" customHeight="1" x14ac:dyDescent="0.2">
      <c r="A19" s="295"/>
      <c r="B19" s="295"/>
      <c r="C19" s="295" t="s">
        <v>36</v>
      </c>
      <c r="F19" s="295"/>
      <c r="H19" s="18"/>
      <c r="J19" s="381"/>
      <c r="K19" s="381"/>
      <c r="L19" s="381"/>
      <c r="M19" s="381"/>
    </row>
    <row r="20" spans="1:13" s="19" customFormat="1" ht="18.75" customHeight="1" x14ac:dyDescent="0.2">
      <c r="A20" s="295"/>
      <c r="C20" s="19" t="s">
        <v>910</v>
      </c>
      <c r="D20" s="520"/>
      <c r="E20" s="358"/>
      <c r="J20" s="381"/>
      <c r="K20" s="381"/>
      <c r="L20" s="381"/>
      <c r="M20" s="381"/>
    </row>
    <row r="21" spans="1:13" s="19" customFormat="1" ht="18.75" customHeight="1" x14ac:dyDescent="0.2">
      <c r="A21" s="295"/>
      <c r="C21" s="295"/>
      <c r="D21" s="295" t="s">
        <v>911</v>
      </c>
      <c r="E21" s="358">
        <v>1188719</v>
      </c>
      <c r="J21" s="381"/>
      <c r="K21" s="381"/>
      <c r="L21" s="381"/>
      <c r="M21" s="381"/>
    </row>
    <row r="22" spans="1:13" s="19" customFormat="1" ht="18.75" customHeight="1" x14ac:dyDescent="0.2">
      <c r="A22" s="295"/>
      <c r="C22" s="295"/>
      <c r="D22" s="295" t="s">
        <v>912</v>
      </c>
      <c r="E22" s="358">
        <v>587706</v>
      </c>
      <c r="J22" s="381"/>
      <c r="K22" s="381"/>
      <c r="L22" s="381"/>
      <c r="M22" s="381"/>
    </row>
    <row r="23" spans="1:13" s="19" customFormat="1" ht="18.75" customHeight="1" x14ac:dyDescent="0.2">
      <c r="D23" s="295" t="s">
        <v>944</v>
      </c>
      <c r="E23" s="358">
        <v>2300000</v>
      </c>
      <c r="J23" s="381"/>
      <c r="K23" s="381"/>
      <c r="L23" s="381"/>
      <c r="M23" s="381"/>
    </row>
    <row r="24" spans="1:13" s="19" customFormat="1" ht="18.75" customHeight="1" x14ac:dyDescent="0.2">
      <c r="C24" s="19" t="s">
        <v>924</v>
      </c>
      <c r="J24" s="381"/>
      <c r="K24" s="381"/>
      <c r="L24" s="381"/>
      <c r="M24" s="381"/>
    </row>
    <row r="25" spans="1:13" s="19" customFormat="1" ht="18.75" customHeight="1" x14ac:dyDescent="0.2">
      <c r="D25" s="520" t="s">
        <v>915</v>
      </c>
      <c r="E25" s="374">
        <f>570133+1239372</f>
        <v>1809505</v>
      </c>
      <c r="J25" s="381"/>
      <c r="K25" s="381"/>
      <c r="L25" s="381"/>
      <c r="M25" s="381"/>
    </row>
    <row r="26" spans="1:13" s="19" customFormat="1" ht="18.75" customHeight="1" x14ac:dyDescent="0.2"/>
    <row r="27" spans="1:13" s="19" customFormat="1" ht="18.75" customHeight="1" x14ac:dyDescent="0.2">
      <c r="C27" s="295" t="s">
        <v>36</v>
      </c>
      <c r="J27" s="381"/>
      <c r="K27" s="381"/>
    </row>
    <row r="28" spans="1:13" s="295" customFormat="1" ht="18.75" customHeight="1" x14ac:dyDescent="0.2">
      <c r="B28" s="19"/>
      <c r="C28" s="19" t="s">
        <v>909</v>
      </c>
      <c r="D28" s="19"/>
      <c r="E28" s="19"/>
      <c r="F28" s="19"/>
      <c r="G28" s="300">
        <f>SUM(E29:E39)</f>
        <v>167540578</v>
      </c>
      <c r="J28" s="478"/>
      <c r="K28" s="478"/>
    </row>
    <row r="29" spans="1:13" s="295" customFormat="1" ht="18.75" customHeight="1" x14ac:dyDescent="0.2">
      <c r="C29" s="19"/>
      <c r="D29" s="520" t="s">
        <v>904</v>
      </c>
      <c r="E29" s="358">
        <f>140013701+5885930</f>
        <v>145899631</v>
      </c>
      <c r="H29" s="18"/>
      <c r="J29" s="478"/>
      <c r="K29" s="478"/>
    </row>
    <row r="30" spans="1:13" s="19" customFormat="1" ht="18.75" customHeight="1" x14ac:dyDescent="0.2">
      <c r="B30" s="295"/>
      <c r="D30" s="520" t="s">
        <v>905</v>
      </c>
      <c r="E30" s="358">
        <v>2180880</v>
      </c>
      <c r="F30" s="295"/>
      <c r="G30" s="295"/>
      <c r="J30" s="381"/>
      <c r="K30" s="381"/>
    </row>
    <row r="31" spans="1:13" s="19" customFormat="1" ht="18.75" customHeight="1" x14ac:dyDescent="0.2">
      <c r="C31" s="295"/>
      <c r="D31" s="520" t="s">
        <v>906</v>
      </c>
      <c r="E31" s="358">
        <f>1627746+4400730</f>
        <v>6028476</v>
      </c>
      <c r="H31" s="18"/>
      <c r="J31" s="381"/>
      <c r="K31" s="381"/>
    </row>
    <row r="32" spans="1:13" s="19" customFormat="1" ht="18.75" customHeight="1" x14ac:dyDescent="0.2">
      <c r="B32" s="295"/>
      <c r="C32" s="295"/>
      <c r="D32" s="520" t="s">
        <v>907</v>
      </c>
      <c r="E32" s="358">
        <v>654369</v>
      </c>
      <c r="H32" s="18"/>
    </row>
    <row r="33" spans="1:14" s="19" customFormat="1" ht="18.75" customHeight="1" x14ac:dyDescent="0.2">
      <c r="B33" s="295"/>
      <c r="C33" s="295"/>
      <c r="D33" s="520" t="s">
        <v>908</v>
      </c>
      <c r="E33" s="358">
        <f>2021174+2006179</f>
        <v>4027353</v>
      </c>
      <c r="H33" s="18"/>
    </row>
    <row r="34" spans="1:14" s="19" customFormat="1" ht="18.75" customHeight="1" x14ac:dyDescent="0.2">
      <c r="B34" s="295"/>
      <c r="D34" s="520" t="s">
        <v>945</v>
      </c>
      <c r="E34" s="358">
        <v>5729333</v>
      </c>
      <c r="H34" s="18"/>
    </row>
    <row r="35" spans="1:14" s="19" customFormat="1" ht="18.75" customHeight="1" x14ac:dyDescent="0.2">
      <c r="A35" s="295"/>
      <c r="D35" s="520" t="s">
        <v>958</v>
      </c>
      <c r="E35" s="358">
        <v>986032</v>
      </c>
      <c r="K35" s="381"/>
      <c r="L35" s="381"/>
      <c r="M35" s="381"/>
      <c r="N35" s="381"/>
    </row>
    <row r="36" spans="1:14" s="19" customFormat="1" ht="18.75" customHeight="1" x14ac:dyDescent="0.2">
      <c r="A36" s="295"/>
      <c r="D36" s="19" t="s">
        <v>959</v>
      </c>
      <c r="E36" s="358">
        <v>225000</v>
      </c>
      <c r="K36" s="381"/>
      <c r="L36" s="381"/>
      <c r="M36" s="381"/>
      <c r="N36" s="381"/>
    </row>
    <row r="37" spans="1:14" s="19" customFormat="1" ht="18.75" customHeight="1" x14ac:dyDescent="0.2">
      <c r="H37" s="18"/>
    </row>
    <row r="38" spans="1:14" s="19" customFormat="1" ht="18.75" customHeight="1" x14ac:dyDescent="0.2">
      <c r="C38" s="19" t="s">
        <v>924</v>
      </c>
      <c r="D38" s="295"/>
      <c r="E38" s="358"/>
      <c r="H38" s="18"/>
    </row>
    <row r="39" spans="1:14" s="19" customFormat="1" ht="18.75" customHeight="1" x14ac:dyDescent="0.2">
      <c r="A39" s="295"/>
      <c r="D39" s="520" t="s">
        <v>914</v>
      </c>
      <c r="E39" s="374">
        <f>570133+499685+338088+401598</f>
        <v>1809504</v>
      </c>
      <c r="H39" s="18"/>
    </row>
    <row r="40" spans="1:14" s="19" customFormat="1" ht="18.75" customHeight="1" x14ac:dyDescent="0.2">
      <c r="A40" s="295"/>
      <c r="H40" s="18"/>
    </row>
    <row r="41" spans="1:14" s="19" customFormat="1" ht="18.75" customHeight="1" x14ac:dyDescent="0.2">
      <c r="A41" s="295"/>
      <c r="C41" s="295" t="s">
        <v>3</v>
      </c>
      <c r="F41" s="295"/>
      <c r="G41" s="174">
        <f>+'BZA DE COMP'!H64</f>
        <v>5136347028</v>
      </c>
      <c r="H41" s="18"/>
    </row>
    <row r="42" spans="1:14" s="19" customFormat="1" ht="18.75" customHeight="1" x14ac:dyDescent="0.2">
      <c r="A42" s="295"/>
      <c r="C42" s="295"/>
      <c r="D42" s="19" t="s">
        <v>903</v>
      </c>
      <c r="E42" s="368">
        <f>5136347028-1002537</f>
        <v>5135344491</v>
      </c>
      <c r="H42" s="18"/>
    </row>
    <row r="43" spans="1:14" s="19" customFormat="1" ht="18.75" customHeight="1" x14ac:dyDescent="0.2">
      <c r="A43" s="295"/>
      <c r="C43" s="295"/>
      <c r="E43" s="228"/>
      <c r="H43" s="18"/>
    </row>
    <row r="44" spans="1:14" s="19" customFormat="1" ht="18.75" customHeight="1" x14ac:dyDescent="0.2">
      <c r="A44" s="295"/>
      <c r="D44" s="19" t="s">
        <v>946</v>
      </c>
      <c r="E44" s="228">
        <v>1002537</v>
      </c>
      <c r="H44" s="18"/>
      <c r="L44" s="381"/>
    </row>
    <row r="45" spans="1:14" s="19" customFormat="1" ht="18.75" customHeight="1" x14ac:dyDescent="0.2">
      <c r="A45" s="295"/>
      <c r="C45" s="295"/>
      <c r="D45" s="19" t="s">
        <v>947</v>
      </c>
      <c r="E45" s="374">
        <v>0</v>
      </c>
      <c r="G45" s="233">
        <f>+E45+E44</f>
        <v>1002537</v>
      </c>
      <c r="H45" s="18"/>
      <c r="J45" s="233"/>
      <c r="L45" s="381"/>
    </row>
    <row r="46" spans="1:14" s="19" customFormat="1" ht="18.75" customHeight="1" x14ac:dyDescent="0.2">
      <c r="A46" s="295"/>
      <c r="H46" s="18"/>
    </row>
    <row r="47" spans="1:14" s="19" customFormat="1" ht="18.75" customHeight="1" x14ac:dyDescent="0.2">
      <c r="A47" s="295"/>
      <c r="H47" s="18"/>
    </row>
    <row r="48" spans="1:14" s="19" customFormat="1" ht="18.75" customHeight="1" x14ac:dyDescent="0.2">
      <c r="A48" s="295"/>
      <c r="C48" s="175" t="s">
        <v>61</v>
      </c>
      <c r="E48" s="18"/>
      <c r="F48" s="295"/>
      <c r="G48" s="174">
        <f>+'BZA DE COMP'!F65</f>
        <v>0</v>
      </c>
      <c r="H48" s="18"/>
    </row>
    <row r="49" spans="1:8" s="19" customFormat="1" ht="18.75" customHeight="1" x14ac:dyDescent="0.2">
      <c r="A49" s="295"/>
      <c r="E49" s="18"/>
      <c r="H49" s="18"/>
    </row>
    <row r="50" spans="1:8" s="19" customFormat="1" ht="18.75" customHeight="1" x14ac:dyDescent="0.2">
      <c r="A50" s="295"/>
      <c r="B50" s="295"/>
      <c r="C50" s="175" t="s">
        <v>10</v>
      </c>
      <c r="E50" s="18"/>
      <c r="F50" s="295"/>
      <c r="G50" s="174">
        <f>+'BZA DE COMP'!H66</f>
        <v>127022</v>
      </c>
      <c r="H50" s="18"/>
    </row>
    <row r="51" spans="1:8" s="19" customFormat="1" ht="18.75" customHeight="1" x14ac:dyDescent="0.2">
      <c r="A51" s="295"/>
      <c r="B51" s="295"/>
      <c r="C51" s="295"/>
      <c r="D51" s="295"/>
      <c r="E51" s="358"/>
      <c r="F51" s="295"/>
      <c r="G51" s="295"/>
      <c r="H51" s="18"/>
    </row>
    <row r="52" spans="1:8" s="19" customFormat="1" ht="18.75" customHeight="1" x14ac:dyDescent="0.2">
      <c r="A52" s="295"/>
      <c r="B52" s="295"/>
      <c r="C52" s="20" t="s">
        <v>11</v>
      </c>
      <c r="E52" s="164"/>
      <c r="F52" s="20"/>
      <c r="G52" s="174">
        <f>+'BZA DE COMP'!H67</f>
        <v>11617764</v>
      </c>
      <c r="H52" s="18"/>
    </row>
    <row r="53" spans="1:8" s="19" customFormat="1" ht="18.75" customHeight="1" x14ac:dyDescent="0.2">
      <c r="A53" s="295"/>
      <c r="B53" s="295"/>
      <c r="H53" s="18"/>
    </row>
    <row r="54" spans="1:8" s="19" customFormat="1" ht="18.75" customHeight="1" x14ac:dyDescent="0.2">
      <c r="A54" s="295"/>
      <c r="B54" s="295"/>
      <c r="H54" s="18"/>
    </row>
    <row r="55" spans="1:8" s="19" customFormat="1" ht="18.75" hidden="1" customHeight="1" x14ac:dyDescent="0.2">
      <c r="A55" s="295"/>
      <c r="B55" s="295"/>
      <c r="C55" s="295"/>
      <c r="D55" s="295"/>
      <c r="E55" s="295"/>
      <c r="F55" s="295"/>
      <c r="G55" s="17"/>
      <c r="H55" s="18"/>
    </row>
    <row r="56" spans="1:8" s="19" customFormat="1" ht="18.75" customHeight="1" x14ac:dyDescent="0.2">
      <c r="A56" s="295"/>
      <c r="B56" s="295"/>
      <c r="C56" s="295"/>
      <c r="D56" s="295"/>
      <c r="E56" s="295"/>
      <c r="F56" s="295"/>
      <c r="G56" s="17"/>
      <c r="H56" s="18"/>
    </row>
    <row r="57" spans="1:8" s="173" customFormat="1" ht="18.75" customHeight="1" x14ac:dyDescent="0.25">
      <c r="A57" s="21"/>
      <c r="B57" s="636"/>
      <c r="C57" s="636"/>
      <c r="D57" s="636"/>
      <c r="E57" s="373"/>
      <c r="F57" s="21"/>
      <c r="G57" s="373">
        <f>+G17+G28+G41+G48+G50+G52+G45</f>
        <v>5795632861</v>
      </c>
      <c r="H57" s="291"/>
    </row>
    <row r="58" spans="1:8" s="19" customFormat="1" ht="18.75" customHeight="1" x14ac:dyDescent="0.2">
      <c r="A58" s="22" t="s">
        <v>4</v>
      </c>
      <c r="B58" s="22"/>
      <c r="C58" s="22"/>
      <c r="D58" s="22"/>
      <c r="E58" s="22"/>
      <c r="F58" s="22"/>
      <c r="G58" s="22"/>
      <c r="H58" s="22"/>
    </row>
    <row r="59" spans="1:8" s="24" customFormat="1" ht="16.5" customHeight="1" x14ac:dyDescent="0.2">
      <c r="A59" s="23"/>
      <c r="B59" s="23"/>
      <c r="C59" s="23"/>
      <c r="D59" s="23"/>
      <c r="E59" s="23"/>
      <c r="F59" s="23"/>
      <c r="G59" s="176">
        <f>+'BZA DE COMP'!H69-'INGRESOS ACUMULADO'!G57</f>
        <v>-1002537</v>
      </c>
      <c r="H59" s="25"/>
    </row>
    <row r="60" spans="1:8" x14ac:dyDescent="0.2">
      <c r="A60" s="6"/>
      <c r="B60" s="6"/>
      <c r="C60" s="6"/>
      <c r="D60" s="6"/>
      <c r="E60" s="6"/>
      <c r="F60" s="6"/>
      <c r="G60" s="6"/>
      <c r="H60" s="6"/>
    </row>
    <row r="61" spans="1:8" ht="15" x14ac:dyDescent="0.2">
      <c r="A61" s="6"/>
      <c r="B61" s="6"/>
      <c r="C61" s="6"/>
      <c r="D61" s="6"/>
      <c r="E61" s="6"/>
      <c r="F61" s="6"/>
      <c r="G61" s="26"/>
      <c r="H61" s="6"/>
    </row>
    <row r="62" spans="1:8" x14ac:dyDescent="0.2">
      <c r="A62" s="6"/>
      <c r="B62" s="6"/>
      <c r="C62" s="6"/>
      <c r="D62" s="6"/>
      <c r="E62" s="6"/>
      <c r="F62" s="6"/>
      <c r="G62" s="6"/>
      <c r="H62" s="6"/>
    </row>
    <row r="63" spans="1:8" x14ac:dyDescent="0.2">
      <c r="A63" s="6"/>
      <c r="B63" s="6"/>
      <c r="C63" s="6"/>
      <c r="D63" s="6"/>
      <c r="E63" s="6"/>
      <c r="F63" s="6"/>
      <c r="G63" s="555"/>
      <c r="H63" s="6"/>
    </row>
    <row r="64" spans="1:8" x14ac:dyDescent="0.2">
      <c r="A64" s="6"/>
      <c r="B64" s="6"/>
      <c r="C64" s="6"/>
      <c r="D64" s="6"/>
      <c r="E64" s="6"/>
      <c r="F64" s="6"/>
      <c r="G64" s="10"/>
      <c r="H64" s="6"/>
    </row>
    <row r="65" spans="1:8" x14ac:dyDescent="0.2">
      <c r="A65" s="6"/>
      <c r="B65" s="6"/>
      <c r="C65" s="6"/>
      <c r="D65" s="6"/>
      <c r="E65" s="6"/>
      <c r="F65" s="6"/>
      <c r="G65" s="6"/>
      <c r="H65" s="6"/>
    </row>
    <row r="66" spans="1:8" x14ac:dyDescent="0.2">
      <c r="A66" s="6"/>
      <c r="B66" s="6"/>
      <c r="C66" s="6"/>
      <c r="D66" s="6"/>
      <c r="E66" s="6"/>
      <c r="F66" s="6"/>
      <c r="G66" s="6"/>
      <c r="H66" s="6"/>
    </row>
    <row r="67" spans="1:8" x14ac:dyDescent="0.2">
      <c r="A67" s="6"/>
      <c r="B67" s="6"/>
      <c r="C67" s="6"/>
      <c r="D67" s="6"/>
      <c r="E67" s="6"/>
      <c r="F67" s="6"/>
      <c r="G67" s="10"/>
      <c r="H67" s="6"/>
    </row>
    <row r="68" spans="1:8" x14ac:dyDescent="0.2">
      <c r="A68" s="6"/>
      <c r="B68" s="6"/>
      <c r="C68" s="6"/>
      <c r="D68" s="6"/>
      <c r="E68" s="6"/>
      <c r="F68" s="6"/>
      <c r="G68" s="6"/>
      <c r="H68" s="6"/>
    </row>
    <row r="69" spans="1:8" x14ac:dyDescent="0.2">
      <c r="A69" s="6"/>
      <c r="B69" s="6"/>
      <c r="C69" s="6"/>
      <c r="D69" s="6"/>
      <c r="E69" s="6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9" x14ac:dyDescent="0.2">
      <c r="A81" s="6"/>
      <c r="B81" s="6"/>
      <c r="C81" s="6"/>
      <c r="D81" s="6"/>
      <c r="E81" s="6"/>
      <c r="F81" s="6"/>
      <c r="G81" s="6"/>
      <c r="H81" s="6"/>
    </row>
    <row r="82" spans="1:9" x14ac:dyDescent="0.2">
      <c r="A82" s="6"/>
      <c r="B82" s="6"/>
      <c r="C82" s="6"/>
      <c r="D82" s="6"/>
      <c r="E82" s="6"/>
      <c r="F82" s="6"/>
      <c r="G82" s="6"/>
      <c r="H82" s="6"/>
    </row>
    <row r="83" spans="1:9" x14ac:dyDescent="0.2">
      <c r="A83" s="6"/>
      <c r="B83" s="6"/>
      <c r="C83" s="6"/>
      <c r="D83" s="6"/>
      <c r="E83" s="6"/>
      <c r="F83" s="6"/>
      <c r="G83" s="6"/>
      <c r="H83" s="6"/>
    </row>
    <row r="84" spans="1:9" x14ac:dyDescent="0.2">
      <c r="A84" s="6"/>
      <c r="B84" s="6"/>
      <c r="C84" s="6"/>
      <c r="D84" s="6"/>
      <c r="E84" s="6"/>
      <c r="F84" s="6"/>
      <c r="G84" s="6"/>
      <c r="H84" s="6"/>
    </row>
    <row r="85" spans="1:9" x14ac:dyDescent="0.2">
      <c r="A85" s="6"/>
      <c r="B85" s="6"/>
      <c r="C85" s="6"/>
      <c r="D85" s="6"/>
      <c r="E85" s="6"/>
      <c r="F85" s="6"/>
      <c r="G85" s="6"/>
      <c r="H85" s="6"/>
    </row>
    <row r="86" spans="1:9" x14ac:dyDescent="0.2">
      <c r="A86" s="6"/>
      <c r="B86" s="6"/>
      <c r="C86" s="6"/>
      <c r="D86" s="6"/>
      <c r="E86" s="6"/>
      <c r="F86" s="6"/>
      <c r="G86" s="6"/>
      <c r="H86" s="6"/>
    </row>
    <row r="87" spans="1:9" x14ac:dyDescent="0.2">
      <c r="A87" s="6"/>
      <c r="B87" s="6"/>
      <c r="C87" s="6"/>
      <c r="D87" s="6"/>
      <c r="E87" s="6"/>
      <c r="F87" s="6"/>
      <c r="G87" s="6"/>
      <c r="H87" s="6"/>
    </row>
    <row r="88" spans="1:9" x14ac:dyDescent="0.2">
      <c r="A88" s="6"/>
      <c r="B88" s="6"/>
      <c r="C88" s="6"/>
      <c r="D88" s="6"/>
      <c r="E88" s="6"/>
      <c r="F88" s="6"/>
      <c r="G88" s="6"/>
      <c r="H88" s="6"/>
    </row>
    <row r="89" spans="1:9" x14ac:dyDescent="0.2">
      <c r="A89" s="6"/>
      <c r="B89" s="6"/>
      <c r="C89" s="6"/>
      <c r="D89" s="6"/>
      <c r="E89" s="6"/>
      <c r="F89" s="6"/>
      <c r="G89" s="6"/>
      <c r="H89" s="6"/>
    </row>
    <row r="90" spans="1:9" x14ac:dyDescent="0.2">
      <c r="A90" s="6"/>
      <c r="B90" s="6"/>
      <c r="C90" s="6"/>
      <c r="D90" s="6"/>
      <c r="E90" s="6"/>
      <c r="F90" s="6"/>
      <c r="G90" s="6"/>
      <c r="H90" s="6"/>
    </row>
    <row r="91" spans="1:9" x14ac:dyDescent="0.2">
      <c r="A91" s="11"/>
      <c r="B91" s="11"/>
      <c r="C91" s="11"/>
      <c r="D91" s="11"/>
      <c r="E91" s="11"/>
      <c r="F91" s="11"/>
      <c r="G91" s="11"/>
      <c r="H91" s="11"/>
    </row>
    <row r="92" spans="1:9" s="1" customFormat="1" x14ac:dyDescent="0.2">
      <c r="A92" s="7"/>
      <c r="B92" s="7"/>
      <c r="C92" s="7"/>
      <c r="D92" s="7"/>
      <c r="E92" s="7"/>
      <c r="F92" s="7"/>
      <c r="G92" s="7"/>
      <c r="H92" s="7"/>
    </row>
    <row r="93" spans="1:9" s="1" customFormat="1" x14ac:dyDescent="0.2">
      <c r="A93" s="9"/>
      <c r="B93" s="9"/>
      <c r="C93" s="9"/>
      <c r="D93" s="9"/>
      <c r="E93" s="9"/>
      <c r="F93" s="9"/>
      <c r="G93" s="9"/>
      <c r="H93" s="9"/>
    </row>
    <row r="94" spans="1:9" s="1" customFormat="1" ht="15" x14ac:dyDescent="0.25">
      <c r="A94" s="12"/>
      <c r="B94" s="12"/>
      <c r="C94" s="12"/>
      <c r="D94" s="12"/>
      <c r="E94" s="12"/>
      <c r="F94" s="12"/>
      <c r="G94" s="12"/>
      <c r="H94" s="12"/>
    </row>
    <row r="95" spans="1:9" s="8" customFormat="1" x14ac:dyDescent="0.2">
      <c r="A95" s="9"/>
      <c r="B95" s="9"/>
      <c r="C95" s="9"/>
      <c r="D95" s="9"/>
      <c r="E95" s="9"/>
      <c r="F95" s="9"/>
      <c r="G95" s="9"/>
      <c r="H95" s="9"/>
      <c r="I95" s="13"/>
    </row>
    <row r="96" spans="1:9" s="1" customFormat="1" x14ac:dyDescent="0.2">
      <c r="A96" s="14"/>
      <c r="B96" s="14"/>
      <c r="C96" s="14"/>
      <c r="D96" s="14"/>
      <c r="E96" s="14"/>
      <c r="F96" s="14"/>
      <c r="G96" s="14"/>
      <c r="H96" s="14"/>
    </row>
    <row r="97" spans="1:8" s="1" customFormat="1" x14ac:dyDescent="0.2">
      <c r="A97" s="15"/>
      <c r="B97" s="15"/>
      <c r="C97" s="15"/>
      <c r="D97" s="15"/>
      <c r="E97" s="15"/>
      <c r="F97" s="15"/>
      <c r="G97" s="15"/>
      <c r="H97" s="15"/>
    </row>
    <row r="98" spans="1:8" s="1" customFormat="1" x14ac:dyDescent="0.2">
      <c r="A98" s="15"/>
      <c r="B98" s="15"/>
      <c r="C98" s="15"/>
      <c r="D98" s="15"/>
      <c r="E98" s="15"/>
      <c r="F98" s="15"/>
      <c r="G98" s="15"/>
      <c r="H98" s="15"/>
    </row>
    <row r="99" spans="1:8" x14ac:dyDescent="0.2">
      <c r="A99" s="11"/>
      <c r="B99" s="11"/>
      <c r="C99" s="11"/>
      <c r="D99" s="11"/>
      <c r="E99" s="11"/>
      <c r="F99" s="11"/>
      <c r="G99" s="11"/>
      <c r="H99" s="11"/>
    </row>
    <row r="100" spans="1:8" x14ac:dyDescent="0.2">
      <c r="A100" s="11"/>
      <c r="B100" s="11"/>
      <c r="C100" s="11"/>
      <c r="D100" s="11"/>
      <c r="E100" s="11"/>
      <c r="F100" s="11"/>
      <c r="G100" s="11"/>
      <c r="H100" s="11"/>
    </row>
    <row r="101" spans="1:8" x14ac:dyDescent="0.2">
      <c r="A101" s="11"/>
      <c r="B101" s="11"/>
      <c r="C101" s="11"/>
      <c r="D101" s="11"/>
      <c r="E101" s="11"/>
      <c r="F101" s="11"/>
      <c r="G101" s="11"/>
      <c r="H101" s="11"/>
    </row>
    <row r="102" spans="1:8" x14ac:dyDescent="0.2">
      <c r="A102" s="11"/>
      <c r="B102" s="11"/>
      <c r="C102" s="11"/>
      <c r="D102" s="11"/>
      <c r="E102" s="11"/>
      <c r="F102" s="11"/>
      <c r="G102" s="11"/>
      <c r="H102" s="11"/>
    </row>
    <row r="103" spans="1:8" x14ac:dyDescent="0.2">
      <c r="A103" s="11"/>
      <c r="B103" s="11"/>
      <c r="C103" s="11"/>
      <c r="D103" s="11"/>
      <c r="E103" s="11"/>
      <c r="F103" s="11"/>
      <c r="G103" s="11"/>
      <c r="H103" s="11"/>
    </row>
    <row r="104" spans="1:8" x14ac:dyDescent="0.2">
      <c r="A104" s="11"/>
      <c r="B104" s="11"/>
      <c r="C104" s="11"/>
      <c r="D104" s="11"/>
      <c r="E104" s="11"/>
      <c r="F104" s="11"/>
      <c r="G104" s="11"/>
      <c r="H104" s="11"/>
    </row>
    <row r="105" spans="1:8" x14ac:dyDescent="0.2">
      <c r="A105" s="11"/>
      <c r="B105" s="11"/>
      <c r="C105" s="11"/>
      <c r="D105" s="11"/>
      <c r="E105" s="11"/>
      <c r="F105" s="11"/>
      <c r="G105" s="11"/>
      <c r="H105" s="11"/>
    </row>
    <row r="106" spans="1:8" x14ac:dyDescent="0.2">
      <c r="A106" s="11"/>
      <c r="B106" s="11"/>
      <c r="C106" s="11"/>
      <c r="D106" s="11"/>
      <c r="E106" s="11"/>
      <c r="F106" s="11"/>
      <c r="G106" s="11"/>
      <c r="H106" s="11"/>
    </row>
    <row r="107" spans="1:8" x14ac:dyDescent="0.2">
      <c r="A107" s="11"/>
      <c r="B107" s="11"/>
      <c r="C107" s="11"/>
      <c r="D107" s="11"/>
      <c r="E107" s="11"/>
      <c r="F107" s="11"/>
      <c r="G107" s="11"/>
      <c r="H107" s="11"/>
    </row>
  </sheetData>
  <mergeCells count="9">
    <mergeCell ref="C13:D15"/>
    <mergeCell ref="G13:G15"/>
    <mergeCell ref="B57:D57"/>
    <mergeCell ref="A3:H3"/>
    <mergeCell ref="A4:H4"/>
    <mergeCell ref="A7:H7"/>
    <mergeCell ref="A8:H8"/>
    <mergeCell ref="A9:H9"/>
    <mergeCell ref="A10:H10"/>
  </mergeCells>
  <printOptions horizontalCentered="1" verticalCentered="1"/>
  <pageMargins left="0.78740157480314965" right="0.78740157480314965" top="0.59055118110236227" bottom="0.59055118110236227" header="0" footer="0"/>
  <pageSetup scale="7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5"/>
  <sheetViews>
    <sheetView topLeftCell="A28" workbookViewId="0">
      <selection activeCell="C39" sqref="C39:D39"/>
    </sheetView>
  </sheetViews>
  <sheetFormatPr baseColWidth="10" defaultRowHeight="12.75" x14ac:dyDescent="0.2"/>
  <cols>
    <col min="1" max="2" width="4.28515625" customWidth="1"/>
    <col min="3" max="3" width="68.5703125" customWidth="1"/>
    <col min="4" max="4" width="20.7109375" customWidth="1"/>
    <col min="5" max="5" width="4.28515625" customWidth="1"/>
    <col min="6" max="6" width="21.42578125" customWidth="1"/>
    <col min="7" max="7" width="4.28515625" customWidth="1"/>
    <col min="8" max="8" width="8.85546875" customWidth="1"/>
    <col min="9" max="10" width="17.42578125" bestFit="1" customWidth="1"/>
    <col min="11" max="11" width="14.140625" bestFit="1" customWidth="1"/>
  </cols>
  <sheetData>
    <row r="2" spans="1:7" ht="15" customHeight="1" x14ac:dyDescent="0.2"/>
    <row r="3" spans="1:7" ht="25.5" customHeight="1" x14ac:dyDescent="0.2">
      <c r="A3" s="634" t="s">
        <v>0</v>
      </c>
      <c r="B3" s="634"/>
      <c r="C3" s="634"/>
      <c r="D3" s="634"/>
      <c r="E3" s="634"/>
      <c r="F3" s="634"/>
      <c r="G3" s="634"/>
    </row>
    <row r="4" spans="1:7" ht="25.5" customHeight="1" x14ac:dyDescent="0.2">
      <c r="A4" s="635" t="s">
        <v>106</v>
      </c>
      <c r="B4" s="635"/>
      <c r="C4" s="635"/>
      <c r="D4" s="635"/>
      <c r="E4" s="635"/>
      <c r="F4" s="635"/>
      <c r="G4" s="635"/>
    </row>
    <row r="5" spans="1:7" ht="15" customHeight="1" x14ac:dyDescent="0.25">
      <c r="A5" s="2"/>
      <c r="B5" s="2"/>
      <c r="C5" s="2"/>
      <c r="D5" s="2"/>
      <c r="E5" s="2"/>
      <c r="F5" s="2"/>
      <c r="G5" s="2"/>
    </row>
    <row r="6" spans="1:7" ht="15" customHeight="1" x14ac:dyDescent="0.25">
      <c r="A6" s="2"/>
      <c r="B6" s="2"/>
      <c r="C6" s="2"/>
      <c r="D6" s="2"/>
      <c r="E6" s="2"/>
      <c r="F6" s="2"/>
      <c r="G6" s="2"/>
    </row>
    <row r="7" spans="1:7" ht="15" customHeight="1" x14ac:dyDescent="0.25">
      <c r="A7" s="638" t="s">
        <v>368</v>
      </c>
      <c r="B7" s="638"/>
      <c r="C7" s="638"/>
      <c r="D7" s="638"/>
      <c r="E7" s="638"/>
      <c r="F7" s="638"/>
      <c r="G7" s="638"/>
    </row>
    <row r="8" spans="1:7" ht="15" customHeight="1" x14ac:dyDescent="0.25">
      <c r="A8" s="638" t="s">
        <v>973</v>
      </c>
      <c r="B8" s="638"/>
      <c r="C8" s="638"/>
      <c r="D8" s="638"/>
      <c r="E8" s="638"/>
      <c r="F8" s="638"/>
      <c r="G8" s="638"/>
    </row>
    <row r="9" spans="1:7" ht="15" customHeight="1" x14ac:dyDescent="0.25">
      <c r="A9" s="638" t="s">
        <v>1</v>
      </c>
      <c r="B9" s="638"/>
      <c r="C9" s="638"/>
      <c r="D9" s="638"/>
      <c r="E9" s="638"/>
      <c r="F9" s="638"/>
      <c r="G9" s="638"/>
    </row>
    <row r="10" spans="1:7" ht="15" customHeight="1" x14ac:dyDescent="0.2">
      <c r="A10" s="637"/>
      <c r="B10" s="637"/>
      <c r="C10" s="637"/>
      <c r="D10" s="637"/>
      <c r="E10" s="637"/>
      <c r="F10" s="637"/>
      <c r="G10" s="637"/>
    </row>
    <row r="11" spans="1:7" ht="18.75" customHeight="1" x14ac:dyDescent="0.2">
      <c r="A11" s="372"/>
      <c r="B11" s="372"/>
      <c r="C11" s="372"/>
      <c r="D11" s="372"/>
      <c r="E11" s="372"/>
      <c r="F11" s="372"/>
      <c r="G11" s="372"/>
    </row>
    <row r="12" spans="1:7" ht="18.75" customHeight="1" x14ac:dyDescent="0.2">
      <c r="A12" s="372"/>
      <c r="B12" s="372"/>
      <c r="C12" s="372"/>
      <c r="D12" s="372"/>
      <c r="E12" s="372"/>
      <c r="F12" s="372"/>
      <c r="G12" s="372"/>
    </row>
    <row r="13" spans="1:7" ht="18.75" customHeight="1" x14ac:dyDescent="0.2">
      <c r="A13" s="5"/>
      <c r="C13" s="629" t="s">
        <v>43</v>
      </c>
      <c r="D13" s="371"/>
      <c r="E13" s="5"/>
      <c r="F13" s="629" t="s">
        <v>5</v>
      </c>
      <c r="G13" s="4"/>
    </row>
    <row r="14" spans="1:7" ht="18.75" customHeight="1" x14ac:dyDescent="0.2">
      <c r="A14" s="5"/>
      <c r="B14" s="147"/>
      <c r="C14" s="629"/>
      <c r="D14" s="371"/>
      <c r="E14" s="5"/>
      <c r="F14" s="629" t="s">
        <v>5</v>
      </c>
      <c r="G14" s="4"/>
    </row>
    <row r="15" spans="1:7" ht="18.75" customHeight="1" x14ac:dyDescent="0.2">
      <c r="A15" s="5"/>
      <c r="B15" s="147"/>
      <c r="C15" s="629"/>
      <c r="D15" s="371"/>
      <c r="E15" s="5"/>
      <c r="F15" s="629"/>
      <c r="G15" s="4"/>
    </row>
    <row r="16" spans="1:7" s="19" customFormat="1" ht="18.75" customHeight="1" x14ac:dyDescent="0.2">
      <c r="A16" s="295"/>
      <c r="B16" s="295"/>
      <c r="C16" s="295"/>
      <c r="D16" s="295"/>
      <c r="E16" s="295"/>
      <c r="F16" s="17"/>
      <c r="G16" s="18"/>
    </row>
    <row r="17" spans="1:11" s="19" customFormat="1" ht="18.75" customHeight="1" x14ac:dyDescent="0.2">
      <c r="A17" s="295"/>
      <c r="B17" s="295"/>
      <c r="C17" s="295" t="s">
        <v>13</v>
      </c>
      <c r="D17" s="295"/>
      <c r="E17" s="295"/>
      <c r="F17" s="174">
        <f>+'BZA DE COMP'!E74</f>
        <v>2880820804</v>
      </c>
      <c r="G17" s="18"/>
    </row>
    <row r="18" spans="1:11" s="19" customFormat="1" ht="18.75" customHeight="1" x14ac:dyDescent="0.2">
      <c r="A18" s="295"/>
      <c r="B18" s="295"/>
      <c r="G18" s="18"/>
    </row>
    <row r="19" spans="1:11" s="19" customFormat="1" ht="18.75" customHeight="1" x14ac:dyDescent="0.2">
      <c r="A19" s="295"/>
      <c r="B19" s="295"/>
      <c r="C19" s="295" t="s">
        <v>19</v>
      </c>
      <c r="D19" s="295"/>
      <c r="E19" s="295"/>
      <c r="F19" s="174">
        <f>+'BZA DE COMP'!E75</f>
        <v>26834599</v>
      </c>
      <c r="G19" s="18"/>
    </row>
    <row r="20" spans="1:11" s="19" customFormat="1" ht="18.75" customHeight="1" x14ac:dyDescent="0.2">
      <c r="A20" s="295"/>
      <c r="B20" s="295"/>
      <c r="G20" s="18"/>
    </row>
    <row r="21" spans="1:11" s="19" customFormat="1" ht="18.75" customHeight="1" x14ac:dyDescent="0.2">
      <c r="A21" s="295"/>
      <c r="B21" s="295"/>
      <c r="C21" s="295" t="s">
        <v>20</v>
      </c>
      <c r="D21" s="295"/>
      <c r="E21" s="295"/>
      <c r="F21" s="174">
        <f>+'BZA DE COMP'!E76</f>
        <v>59312765</v>
      </c>
      <c r="G21" s="18"/>
    </row>
    <row r="22" spans="1:11" s="19" customFormat="1" ht="18.75" customHeight="1" x14ac:dyDescent="0.2">
      <c r="A22" s="295"/>
      <c r="G22" s="18"/>
    </row>
    <row r="23" spans="1:11" s="19" customFormat="1" ht="18.75" customHeight="1" x14ac:dyDescent="0.2">
      <c r="A23" s="295"/>
      <c r="C23" s="175" t="s">
        <v>87</v>
      </c>
      <c r="D23" s="175"/>
      <c r="E23" s="175"/>
      <c r="F23" s="300">
        <f>+'BZA DE COMP'!E77</f>
        <v>63345738</v>
      </c>
      <c r="G23" s="18"/>
      <c r="I23" s="164"/>
      <c r="J23" s="164"/>
    </row>
    <row r="24" spans="1:11" s="19" customFormat="1" ht="18.75" customHeight="1" x14ac:dyDescent="0.2">
      <c r="A24" s="295"/>
      <c r="C24" s="19" t="s">
        <v>909</v>
      </c>
      <c r="G24" s="18"/>
      <c r="I24" s="233"/>
    </row>
    <row r="25" spans="1:11" s="19" customFormat="1" ht="18.75" customHeight="1" x14ac:dyDescent="0.2">
      <c r="A25" s="295"/>
      <c r="C25" s="521" t="s">
        <v>904</v>
      </c>
      <c r="D25" s="358"/>
      <c r="G25" s="18"/>
      <c r="J25" s="295"/>
    </row>
    <row r="26" spans="1:11" s="19" customFormat="1" ht="18.75" customHeight="1" x14ac:dyDescent="0.2">
      <c r="A26" s="295"/>
      <c r="C26" s="521" t="s">
        <v>905</v>
      </c>
      <c r="D26" s="358"/>
      <c r="G26" s="18"/>
      <c r="I26" s="381"/>
      <c r="J26" s="295"/>
    </row>
    <row r="27" spans="1:11" s="19" customFormat="1" ht="18.75" customHeight="1" x14ac:dyDescent="0.2">
      <c r="B27" s="295"/>
      <c r="C27" s="521" t="s">
        <v>906</v>
      </c>
      <c r="D27" s="358"/>
      <c r="G27" s="18"/>
      <c r="I27" s="381"/>
      <c r="J27" s="358"/>
    </row>
    <row r="28" spans="1:11" s="19" customFormat="1" ht="18.75" customHeight="1" x14ac:dyDescent="0.2">
      <c r="A28" s="295"/>
      <c r="B28" s="295"/>
      <c r="C28" s="521" t="s">
        <v>907</v>
      </c>
      <c r="D28" s="358"/>
      <c r="G28" s="18"/>
      <c r="I28" s="381"/>
      <c r="J28" s="485"/>
      <c r="K28" s="486"/>
    </row>
    <row r="29" spans="1:11" s="19" customFormat="1" ht="18.75" customHeight="1" x14ac:dyDescent="0.2">
      <c r="A29" s="295"/>
      <c r="B29" s="295"/>
      <c r="C29" s="521" t="s">
        <v>908</v>
      </c>
      <c r="D29" s="358">
        <v>2006179</v>
      </c>
      <c r="I29" s="381"/>
      <c r="J29" s="295"/>
    </row>
    <row r="30" spans="1:11" s="19" customFormat="1" ht="18.75" customHeight="1" x14ac:dyDescent="0.2">
      <c r="A30" s="295"/>
      <c r="C30" s="521" t="s">
        <v>948</v>
      </c>
      <c r="D30" s="300"/>
      <c r="E30" s="300"/>
      <c r="F30" s="300"/>
      <c r="I30" s="381"/>
    </row>
    <row r="31" spans="1:11" s="19" customFormat="1" ht="18.75" customHeight="1" x14ac:dyDescent="0.2">
      <c r="A31" s="295"/>
      <c r="B31" s="295"/>
      <c r="C31" s="556" t="s">
        <v>958</v>
      </c>
      <c r="D31" s="300"/>
      <c r="E31" s="300"/>
      <c r="F31" s="300"/>
    </row>
    <row r="32" spans="1:11" s="19" customFormat="1" ht="18.75" customHeight="1" x14ac:dyDescent="0.2">
      <c r="A32" s="295"/>
      <c r="B32" s="295"/>
      <c r="C32" s="556" t="s">
        <v>959</v>
      </c>
      <c r="D32" s="300" t="s">
        <v>975</v>
      </c>
      <c r="E32" s="300"/>
      <c r="F32" s="300"/>
    </row>
    <row r="33" spans="1:10" s="19" customFormat="1" ht="18.75" customHeight="1" x14ac:dyDescent="0.2">
      <c r="A33" s="295"/>
      <c r="C33" s="19" t="s">
        <v>910</v>
      </c>
      <c r="D33" s="300"/>
      <c r="E33" s="300"/>
      <c r="F33" s="300"/>
    </row>
    <row r="34" spans="1:10" s="19" customFormat="1" ht="18.75" customHeight="1" x14ac:dyDescent="0.2">
      <c r="A34" s="295"/>
      <c r="C34" s="522" t="s">
        <v>911</v>
      </c>
      <c r="D34" s="300"/>
      <c r="E34" s="300"/>
      <c r="F34" s="300"/>
    </row>
    <row r="35" spans="1:10" s="19" customFormat="1" ht="18.75" customHeight="1" x14ac:dyDescent="0.2">
      <c r="A35" s="295"/>
      <c r="C35" s="522" t="s">
        <v>912</v>
      </c>
      <c r="D35" s="358"/>
      <c r="G35" s="18"/>
    </row>
    <row r="36" spans="1:10" s="19" customFormat="1" ht="18.75" customHeight="1" x14ac:dyDescent="0.2">
      <c r="A36" s="295"/>
      <c r="C36" s="19" t="s">
        <v>913</v>
      </c>
      <c r="D36" s="358"/>
      <c r="G36" s="18"/>
      <c r="J36" s="523"/>
    </row>
    <row r="37" spans="1:10" s="19" customFormat="1" ht="18.75" customHeight="1" x14ac:dyDescent="0.2">
      <c r="A37" s="295"/>
      <c r="C37" s="521" t="s">
        <v>914</v>
      </c>
      <c r="D37" s="358">
        <v>401598</v>
      </c>
      <c r="E37" s="295"/>
      <c r="G37" s="18"/>
      <c r="I37" s="523"/>
      <c r="J37" s="523"/>
    </row>
    <row r="38" spans="1:10" s="19" customFormat="1" ht="18.75" customHeight="1" x14ac:dyDescent="0.2">
      <c r="A38" s="295"/>
      <c r="C38" s="521" t="s">
        <v>915</v>
      </c>
      <c r="D38" s="228"/>
      <c r="G38" s="18"/>
      <c r="I38" s="523"/>
    </row>
    <row r="39" spans="1:10" s="19" customFormat="1" ht="18.75" customHeight="1" x14ac:dyDescent="0.2">
      <c r="A39" s="295"/>
      <c r="C39" s="19" t="s">
        <v>974</v>
      </c>
      <c r="D39" s="358">
        <f>62407973-2006179-401598</f>
        <v>60000196</v>
      </c>
      <c r="G39" s="18"/>
    </row>
    <row r="40" spans="1:10" s="19" customFormat="1" ht="18.75" customHeight="1" x14ac:dyDescent="0.2">
      <c r="A40" s="295"/>
      <c r="C40" s="19" t="s">
        <v>916</v>
      </c>
      <c r="D40" s="228">
        <v>937765</v>
      </c>
      <c r="G40" s="18"/>
    </row>
    <row r="41" spans="1:10" s="19" customFormat="1" ht="18.75" customHeight="1" x14ac:dyDescent="0.2">
      <c r="A41" s="295"/>
      <c r="B41" s="295"/>
      <c r="C41" s="19" t="s">
        <v>917</v>
      </c>
      <c r="D41" s="374"/>
      <c r="G41" s="18"/>
    </row>
    <row r="42" spans="1:10" s="19" customFormat="1" ht="18.75" customHeight="1" x14ac:dyDescent="0.2">
      <c r="A42" s="295"/>
      <c r="B42" s="295"/>
      <c r="G42" s="18"/>
    </row>
    <row r="43" spans="1:10" s="19" customFormat="1" ht="18.75" customHeight="1" x14ac:dyDescent="0.2">
      <c r="A43" s="295"/>
      <c r="B43" s="295"/>
      <c r="C43" s="295" t="s">
        <v>86</v>
      </c>
      <c r="D43" s="18"/>
      <c r="E43" s="295"/>
      <c r="F43" s="174">
        <f>+'BZA DE COMP'!E78</f>
        <v>0</v>
      </c>
      <c r="G43" s="18"/>
    </row>
    <row r="44" spans="1:10" s="19" customFormat="1" ht="18.75" customHeight="1" x14ac:dyDescent="0.2">
      <c r="A44" s="295"/>
      <c r="B44" s="295"/>
      <c r="D44" s="233"/>
      <c r="G44" s="18"/>
    </row>
    <row r="45" spans="1:10" s="19" customFormat="1" ht="18.75" customHeight="1" x14ac:dyDescent="0.2">
      <c r="A45" s="295"/>
      <c r="B45" s="295"/>
      <c r="C45" s="295" t="s">
        <v>88</v>
      </c>
      <c r="D45" s="228"/>
      <c r="E45" s="20"/>
      <c r="F45" s="174">
        <f>+'BZA DE COMP'!E79</f>
        <v>0</v>
      </c>
      <c r="G45" s="18"/>
    </row>
    <row r="46" spans="1:10" s="19" customFormat="1" ht="18.75" customHeight="1" x14ac:dyDescent="0.2">
      <c r="A46" s="295"/>
      <c r="B46" s="295"/>
      <c r="C46" s="295"/>
      <c r="D46" s="295"/>
      <c r="E46" s="295"/>
      <c r="F46" s="17"/>
      <c r="G46" s="18"/>
    </row>
    <row r="47" spans="1:10" s="19" customFormat="1" ht="18.75" customHeight="1" x14ac:dyDescent="0.2">
      <c r="A47" s="295"/>
      <c r="B47" s="295"/>
      <c r="C47" s="295"/>
      <c r="D47" s="295"/>
      <c r="E47" s="295"/>
      <c r="F47" s="17"/>
      <c r="G47" s="18"/>
    </row>
    <row r="48" spans="1:10" s="19" customFormat="1" ht="18.75" customHeight="1" x14ac:dyDescent="0.2">
      <c r="A48" s="295"/>
      <c r="B48" s="295"/>
      <c r="C48" s="295"/>
      <c r="D48" s="295"/>
      <c r="E48" s="295"/>
      <c r="F48" s="17"/>
      <c r="G48" s="18"/>
    </row>
    <row r="49" spans="1:7" s="19" customFormat="1" ht="18.75" customHeight="1" x14ac:dyDescent="0.2">
      <c r="A49" s="295"/>
      <c r="B49" s="295"/>
      <c r="C49" s="295"/>
      <c r="D49" s="295"/>
      <c r="E49" s="295"/>
      <c r="F49" s="17"/>
      <c r="G49" s="18"/>
    </row>
    <row r="50" spans="1:7" s="19" customFormat="1" ht="18.75" customHeight="1" x14ac:dyDescent="0.2">
      <c r="A50" s="295"/>
      <c r="B50" s="295"/>
      <c r="C50" s="295"/>
      <c r="D50" s="295"/>
      <c r="E50" s="295"/>
      <c r="F50" s="17"/>
      <c r="G50" s="18"/>
    </row>
    <row r="51" spans="1:7" s="19" customFormat="1" ht="18.75" customHeight="1" x14ac:dyDescent="0.2">
      <c r="A51" s="295"/>
      <c r="B51" s="295"/>
      <c r="C51" s="295"/>
      <c r="D51" s="295"/>
      <c r="E51" s="295"/>
      <c r="F51" s="17"/>
      <c r="G51" s="18"/>
    </row>
    <row r="52" spans="1:7" s="19" customFormat="1" ht="18.75" hidden="1" customHeight="1" x14ac:dyDescent="0.2">
      <c r="A52" s="295"/>
      <c r="B52" s="295"/>
      <c r="C52" s="295"/>
      <c r="D52" s="295"/>
      <c r="E52" s="295"/>
      <c r="F52" s="17"/>
      <c r="G52" s="18"/>
    </row>
    <row r="53" spans="1:7" s="19" customFormat="1" ht="18.75" customHeight="1" x14ac:dyDescent="0.2">
      <c r="A53" s="295"/>
      <c r="B53" s="295"/>
      <c r="C53" s="295"/>
      <c r="D53" s="295"/>
      <c r="E53" s="295"/>
      <c r="F53" s="17"/>
      <c r="G53" s="18"/>
    </row>
    <row r="54" spans="1:7" s="19" customFormat="1" ht="18.75" customHeight="1" x14ac:dyDescent="0.2">
      <c r="A54" s="295"/>
      <c r="B54" s="295"/>
      <c r="C54" s="295"/>
      <c r="D54" s="295"/>
      <c r="E54" s="295"/>
      <c r="F54" s="17"/>
      <c r="G54" s="18"/>
    </row>
    <row r="55" spans="1:7" s="173" customFormat="1" ht="18.75" customHeight="1" x14ac:dyDescent="0.25">
      <c r="A55" s="21"/>
      <c r="B55" s="636" t="s">
        <v>82</v>
      </c>
      <c r="C55" s="636"/>
      <c r="D55" s="373"/>
      <c r="E55" s="21"/>
      <c r="F55" s="373">
        <f>+F17+F19+F21+F23+F43+F45</f>
        <v>3030313906</v>
      </c>
      <c r="G55" s="291"/>
    </row>
    <row r="56" spans="1:7" s="19" customFormat="1" ht="18.75" customHeight="1" x14ac:dyDescent="0.2">
      <c r="A56" s="22" t="s">
        <v>4</v>
      </c>
      <c r="B56" s="22"/>
      <c r="C56" s="22"/>
      <c r="D56" s="22"/>
      <c r="E56" s="22"/>
      <c r="F56" s="22"/>
      <c r="G56" s="22"/>
    </row>
    <row r="57" spans="1:7" s="24" customFormat="1" ht="16.5" customHeight="1" x14ac:dyDescent="0.2">
      <c r="A57" s="23"/>
      <c r="B57" s="23"/>
      <c r="C57" s="23"/>
      <c r="D57" s="23"/>
      <c r="E57" s="23"/>
      <c r="F57" s="176">
        <f>+'EDO ING Y EGR'!K51-'EGRESOS BIMESTRAL'!F55</f>
        <v>0</v>
      </c>
      <c r="G57" s="25"/>
    </row>
    <row r="58" spans="1:7" x14ac:dyDescent="0.2">
      <c r="A58" s="6"/>
      <c r="B58" s="6"/>
      <c r="C58" s="6"/>
      <c r="D58" s="6"/>
      <c r="E58" s="6"/>
      <c r="F58" s="6"/>
      <c r="G58" s="6"/>
    </row>
    <row r="59" spans="1:7" ht="15" x14ac:dyDescent="0.2">
      <c r="A59" s="6"/>
      <c r="B59" s="6"/>
      <c r="C59" s="6"/>
      <c r="D59" s="6"/>
      <c r="E59" s="6"/>
      <c r="F59" s="26"/>
      <c r="G59" s="6"/>
    </row>
    <row r="60" spans="1:7" x14ac:dyDescent="0.2">
      <c r="A60" s="6"/>
      <c r="B60" s="6"/>
      <c r="C60" s="6"/>
      <c r="D60" s="6"/>
      <c r="E60" s="6"/>
      <c r="F60" s="6"/>
      <c r="G60" s="6"/>
    </row>
    <row r="61" spans="1:7" x14ac:dyDescent="0.2">
      <c r="A61" s="6"/>
      <c r="B61" s="6"/>
      <c r="C61" s="6"/>
      <c r="D61" s="6"/>
      <c r="E61" s="6"/>
      <c r="F61" s="6"/>
      <c r="G61" s="6"/>
    </row>
    <row r="62" spans="1:7" x14ac:dyDescent="0.2">
      <c r="A62" s="6"/>
      <c r="B62" s="6"/>
      <c r="C62" s="6"/>
      <c r="D62" s="6"/>
      <c r="E62" s="6"/>
      <c r="F62" s="10"/>
      <c r="G62" s="6"/>
    </row>
    <row r="63" spans="1:7" x14ac:dyDescent="0.2">
      <c r="A63" s="6"/>
      <c r="B63" s="6"/>
      <c r="C63" s="6"/>
      <c r="D63" s="6"/>
      <c r="E63" s="6"/>
      <c r="F63" s="6"/>
      <c r="G63" s="6"/>
    </row>
    <row r="64" spans="1:7" x14ac:dyDescent="0.2">
      <c r="A64" s="6"/>
      <c r="B64" s="6"/>
      <c r="C64" s="6"/>
      <c r="D64" s="6"/>
      <c r="E64" s="6"/>
      <c r="F64" s="6"/>
      <c r="G64" s="6"/>
    </row>
    <row r="65" spans="1:7" x14ac:dyDescent="0.2">
      <c r="A65" s="6"/>
      <c r="B65" s="6"/>
      <c r="C65" s="6"/>
      <c r="D65" s="6"/>
      <c r="E65" s="6"/>
      <c r="F65" s="10"/>
      <c r="G65" s="6"/>
    </row>
    <row r="66" spans="1:7" x14ac:dyDescent="0.2">
      <c r="A66" s="6"/>
      <c r="B66" s="6"/>
      <c r="C66" s="6"/>
      <c r="D66" s="6"/>
      <c r="E66" s="6"/>
      <c r="F66" s="6"/>
      <c r="G66" s="6"/>
    </row>
    <row r="67" spans="1:7" x14ac:dyDescent="0.2">
      <c r="A67" s="6"/>
      <c r="B67" s="6"/>
      <c r="C67" s="6"/>
      <c r="D67" s="6"/>
      <c r="E67" s="6"/>
      <c r="F67" s="6"/>
      <c r="G67" s="6"/>
    </row>
    <row r="68" spans="1:7" x14ac:dyDescent="0.2">
      <c r="A68" s="6"/>
      <c r="B68" s="6"/>
      <c r="C68" s="6"/>
      <c r="D68" s="6"/>
      <c r="E68" s="6"/>
      <c r="F68" s="6"/>
      <c r="G68" s="6"/>
    </row>
    <row r="69" spans="1:7" x14ac:dyDescent="0.2">
      <c r="A69" s="6"/>
      <c r="B69" s="6"/>
      <c r="C69" s="6"/>
      <c r="D69" s="6"/>
      <c r="E69" s="6"/>
      <c r="F69" s="6"/>
      <c r="G69" s="6"/>
    </row>
    <row r="70" spans="1:7" x14ac:dyDescent="0.2">
      <c r="A70" s="6"/>
      <c r="B70" s="6"/>
      <c r="C70" s="6"/>
      <c r="D70" s="6"/>
      <c r="E70" s="6"/>
      <c r="F70" s="6"/>
      <c r="G70" s="6"/>
    </row>
    <row r="71" spans="1:7" x14ac:dyDescent="0.2">
      <c r="A71" s="6"/>
      <c r="B71" s="6"/>
      <c r="C71" s="6"/>
      <c r="D71" s="6"/>
      <c r="E71" s="6"/>
      <c r="F71" s="6"/>
      <c r="G71" s="6"/>
    </row>
    <row r="72" spans="1:7" x14ac:dyDescent="0.2">
      <c r="A72" s="6"/>
      <c r="B72" s="6"/>
      <c r="C72" s="6"/>
      <c r="D72" s="6"/>
      <c r="E72" s="6"/>
      <c r="F72" s="6"/>
      <c r="G72" s="6"/>
    </row>
    <row r="73" spans="1:7" x14ac:dyDescent="0.2">
      <c r="A73" s="6"/>
      <c r="B73" s="6"/>
      <c r="C73" s="6"/>
      <c r="D73" s="6"/>
      <c r="E73" s="6"/>
      <c r="F73" s="6"/>
      <c r="G73" s="6"/>
    </row>
    <row r="74" spans="1:7" x14ac:dyDescent="0.2">
      <c r="A74" s="6"/>
      <c r="B74" s="6"/>
      <c r="C74" s="6"/>
      <c r="D74" s="6"/>
      <c r="E74" s="6"/>
      <c r="F74" s="6"/>
      <c r="G74" s="6"/>
    </row>
    <row r="75" spans="1:7" x14ac:dyDescent="0.2">
      <c r="A75" s="6"/>
      <c r="B75" s="6"/>
      <c r="C75" s="6"/>
      <c r="D75" s="6"/>
      <c r="E75" s="6"/>
      <c r="F75" s="6"/>
      <c r="G75" s="6"/>
    </row>
    <row r="76" spans="1:7" x14ac:dyDescent="0.2">
      <c r="A76" s="6"/>
      <c r="B76" s="6"/>
      <c r="C76" s="6"/>
      <c r="D76" s="6"/>
      <c r="E76" s="6"/>
      <c r="F76" s="6"/>
      <c r="G76" s="6"/>
    </row>
    <row r="77" spans="1:7" x14ac:dyDescent="0.2">
      <c r="A77" s="6"/>
      <c r="B77" s="6"/>
      <c r="C77" s="6"/>
      <c r="D77" s="6"/>
      <c r="E77" s="6"/>
      <c r="F77" s="6"/>
      <c r="G77" s="6"/>
    </row>
    <row r="78" spans="1:7" x14ac:dyDescent="0.2">
      <c r="A78" s="6"/>
      <c r="B78" s="6"/>
      <c r="C78" s="6"/>
      <c r="D78" s="6"/>
      <c r="E78" s="6"/>
      <c r="F78" s="6"/>
      <c r="G78" s="6"/>
    </row>
    <row r="79" spans="1:7" x14ac:dyDescent="0.2">
      <c r="A79" s="6"/>
      <c r="B79" s="6"/>
      <c r="C79" s="6"/>
      <c r="D79" s="6"/>
      <c r="E79" s="6"/>
      <c r="F79" s="6"/>
      <c r="G79" s="6"/>
    </row>
    <row r="80" spans="1:7" x14ac:dyDescent="0.2">
      <c r="A80" s="6"/>
      <c r="B80" s="6"/>
      <c r="C80" s="6"/>
      <c r="D80" s="6"/>
      <c r="E80" s="6"/>
      <c r="F80" s="6"/>
      <c r="G80" s="6"/>
    </row>
    <row r="81" spans="1:8" x14ac:dyDescent="0.2">
      <c r="A81" s="6"/>
      <c r="B81" s="6"/>
      <c r="C81" s="6"/>
      <c r="D81" s="6"/>
      <c r="E81" s="6"/>
      <c r="F81" s="6"/>
      <c r="G81" s="6"/>
    </row>
    <row r="82" spans="1:8" x14ac:dyDescent="0.2">
      <c r="A82" s="6"/>
      <c r="B82" s="6"/>
      <c r="C82" s="6"/>
      <c r="D82" s="6"/>
      <c r="E82" s="6"/>
      <c r="F82" s="6"/>
      <c r="G82" s="6"/>
    </row>
    <row r="83" spans="1:8" x14ac:dyDescent="0.2">
      <c r="A83" s="6"/>
      <c r="B83" s="6"/>
      <c r="C83" s="6"/>
      <c r="D83" s="6"/>
      <c r="E83" s="6"/>
      <c r="F83" s="6"/>
      <c r="G83" s="6"/>
    </row>
    <row r="84" spans="1:8" x14ac:dyDescent="0.2">
      <c r="A84" s="6"/>
      <c r="B84" s="6"/>
      <c r="C84" s="6"/>
      <c r="D84" s="6"/>
      <c r="E84" s="6"/>
      <c r="F84" s="6"/>
      <c r="G84" s="6"/>
    </row>
    <row r="85" spans="1:8" x14ac:dyDescent="0.2">
      <c r="A85" s="6"/>
      <c r="B85" s="6"/>
      <c r="C85" s="6"/>
      <c r="D85" s="6"/>
      <c r="E85" s="6"/>
      <c r="F85" s="6"/>
      <c r="G85" s="6"/>
    </row>
    <row r="86" spans="1:8" x14ac:dyDescent="0.2">
      <c r="A86" s="6"/>
      <c r="B86" s="6"/>
      <c r="C86" s="6"/>
      <c r="D86" s="6"/>
      <c r="E86" s="6"/>
      <c r="F86" s="6"/>
      <c r="G86" s="6"/>
    </row>
    <row r="87" spans="1:8" x14ac:dyDescent="0.2">
      <c r="A87" s="6"/>
      <c r="B87" s="6"/>
      <c r="C87" s="6"/>
      <c r="D87" s="6"/>
      <c r="E87" s="6"/>
      <c r="F87" s="6"/>
      <c r="G87" s="6"/>
    </row>
    <row r="88" spans="1:8" x14ac:dyDescent="0.2">
      <c r="A88" s="6"/>
      <c r="B88" s="6"/>
      <c r="C88" s="6"/>
      <c r="D88" s="6"/>
      <c r="E88" s="6"/>
      <c r="F88" s="6"/>
      <c r="G88" s="6"/>
    </row>
    <row r="89" spans="1:8" x14ac:dyDescent="0.2">
      <c r="A89" s="11"/>
      <c r="B89" s="11"/>
      <c r="C89" s="11"/>
      <c r="D89" s="11"/>
      <c r="E89" s="11"/>
      <c r="F89" s="11"/>
      <c r="G89" s="11"/>
    </row>
    <row r="90" spans="1:8" s="1" customFormat="1" x14ac:dyDescent="0.2">
      <c r="A90" s="7"/>
      <c r="B90" s="7"/>
      <c r="C90" s="7"/>
      <c r="D90" s="7"/>
      <c r="E90" s="7"/>
      <c r="F90" s="7"/>
      <c r="G90" s="7"/>
    </row>
    <row r="91" spans="1:8" s="1" customFormat="1" x14ac:dyDescent="0.2">
      <c r="A91" s="9"/>
      <c r="B91" s="9"/>
      <c r="C91" s="9"/>
      <c r="D91" s="9"/>
      <c r="E91" s="9"/>
      <c r="F91" s="9"/>
      <c r="G91" s="9"/>
    </row>
    <row r="92" spans="1:8" s="1" customFormat="1" ht="15" x14ac:dyDescent="0.25">
      <c r="A92" s="12"/>
      <c r="B92" s="12"/>
      <c r="C92" s="12"/>
      <c r="D92" s="12"/>
      <c r="E92" s="12"/>
      <c r="F92" s="12"/>
      <c r="G92" s="12"/>
    </row>
    <row r="93" spans="1:8" s="8" customFormat="1" x14ac:dyDescent="0.2">
      <c r="A93" s="9"/>
      <c r="B93" s="9"/>
      <c r="C93" s="9"/>
      <c r="D93" s="9"/>
      <c r="E93" s="9"/>
      <c r="F93" s="9"/>
      <c r="G93" s="9"/>
      <c r="H93" s="13"/>
    </row>
    <row r="94" spans="1:8" s="1" customFormat="1" x14ac:dyDescent="0.2">
      <c r="A94" s="14"/>
      <c r="B94" s="14"/>
      <c r="C94" s="14"/>
      <c r="D94" s="14"/>
      <c r="E94" s="14"/>
      <c r="F94" s="14"/>
      <c r="G94" s="14"/>
    </row>
    <row r="95" spans="1:8" s="1" customFormat="1" x14ac:dyDescent="0.2">
      <c r="A95" s="15"/>
      <c r="B95" s="15"/>
      <c r="C95" s="15"/>
      <c r="D95" s="15"/>
      <c r="E95" s="15"/>
      <c r="F95" s="15"/>
      <c r="G95" s="15"/>
    </row>
    <row r="96" spans="1:8" s="1" customFormat="1" x14ac:dyDescent="0.2">
      <c r="A96" s="15"/>
      <c r="B96" s="15"/>
      <c r="C96" s="15"/>
      <c r="D96" s="15"/>
      <c r="E96" s="15"/>
      <c r="F96" s="15"/>
      <c r="G96" s="15"/>
    </row>
    <row r="97" spans="1:7" x14ac:dyDescent="0.2">
      <c r="A97" s="11"/>
      <c r="B97" s="11"/>
      <c r="C97" s="11"/>
      <c r="D97" s="11"/>
      <c r="E97" s="11"/>
      <c r="F97" s="11"/>
      <c r="G97" s="11"/>
    </row>
    <row r="98" spans="1:7" x14ac:dyDescent="0.2">
      <c r="A98" s="11"/>
      <c r="B98" s="11"/>
      <c r="C98" s="11"/>
      <c r="D98" s="11"/>
      <c r="E98" s="11"/>
      <c r="F98" s="11"/>
      <c r="G98" s="11"/>
    </row>
    <row r="99" spans="1:7" x14ac:dyDescent="0.2">
      <c r="A99" s="11"/>
      <c r="B99" s="11"/>
      <c r="C99" s="11"/>
      <c r="D99" s="11"/>
      <c r="E99" s="11"/>
      <c r="F99" s="11"/>
      <c r="G99" s="11"/>
    </row>
    <row r="100" spans="1:7" x14ac:dyDescent="0.2">
      <c r="A100" s="11"/>
      <c r="B100" s="11"/>
      <c r="C100" s="11"/>
      <c r="D100" s="11"/>
      <c r="E100" s="11"/>
      <c r="F100" s="11"/>
      <c r="G100" s="11"/>
    </row>
    <row r="101" spans="1:7" x14ac:dyDescent="0.2">
      <c r="A101" s="11"/>
      <c r="B101" s="11"/>
      <c r="C101" s="11"/>
      <c r="D101" s="11"/>
      <c r="E101" s="11"/>
      <c r="F101" s="11"/>
      <c r="G101" s="11"/>
    </row>
    <row r="102" spans="1:7" x14ac:dyDescent="0.2">
      <c r="A102" s="11"/>
      <c r="B102" s="11"/>
      <c r="C102" s="11"/>
      <c r="D102" s="11"/>
      <c r="E102" s="11"/>
      <c r="F102" s="11"/>
      <c r="G102" s="11"/>
    </row>
    <row r="103" spans="1:7" x14ac:dyDescent="0.2">
      <c r="A103" s="11"/>
      <c r="B103" s="11"/>
      <c r="C103" s="11"/>
      <c r="D103" s="11"/>
      <c r="E103" s="11"/>
      <c r="F103" s="11"/>
      <c r="G103" s="11"/>
    </row>
    <row r="104" spans="1:7" x14ac:dyDescent="0.2">
      <c r="A104" s="11"/>
      <c r="B104" s="11"/>
      <c r="C104" s="11"/>
      <c r="D104" s="11"/>
      <c r="E104" s="11"/>
      <c r="F104" s="11"/>
      <c r="G104" s="11"/>
    </row>
    <row r="105" spans="1:7" x14ac:dyDescent="0.2">
      <c r="A105" s="11"/>
      <c r="B105" s="11"/>
      <c r="C105" s="11"/>
      <c r="D105" s="11"/>
      <c r="E105" s="11"/>
      <c r="F105" s="11"/>
      <c r="G105" s="11"/>
    </row>
  </sheetData>
  <mergeCells count="9">
    <mergeCell ref="C13:C15"/>
    <mergeCell ref="F13:F15"/>
    <mergeCell ref="B55:C55"/>
    <mergeCell ref="A3:G3"/>
    <mergeCell ref="A4:G4"/>
    <mergeCell ref="A7:G7"/>
    <mergeCell ref="A8:G8"/>
    <mergeCell ref="A9:G9"/>
    <mergeCell ref="A10:G10"/>
  </mergeCells>
  <printOptions horizontalCentered="1" verticalCentered="1"/>
  <pageMargins left="0.78740157480314965" right="0.78740157480314965" top="0.59055118110236227" bottom="0.59055118110236227" header="0" footer="0"/>
  <pageSetup scale="7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"/>
  <sheetViews>
    <sheetView topLeftCell="A34" workbookViewId="0">
      <selection activeCell="D39" sqref="D39"/>
    </sheetView>
  </sheetViews>
  <sheetFormatPr baseColWidth="10" defaultRowHeight="12.75" x14ac:dyDescent="0.2"/>
  <cols>
    <col min="1" max="2" width="4.28515625" customWidth="1"/>
    <col min="3" max="3" width="68.5703125" customWidth="1"/>
    <col min="4" max="4" width="20.7109375" customWidth="1"/>
    <col min="5" max="5" width="4.28515625" customWidth="1"/>
    <col min="6" max="6" width="21.42578125" customWidth="1"/>
    <col min="7" max="7" width="4.28515625" customWidth="1"/>
    <col min="8" max="8" width="8.85546875" customWidth="1"/>
    <col min="9" max="9" width="17.42578125" bestFit="1" customWidth="1"/>
    <col min="10" max="10" width="14" bestFit="1" customWidth="1"/>
  </cols>
  <sheetData>
    <row r="2" spans="1:10" ht="15" customHeight="1" x14ac:dyDescent="0.2"/>
    <row r="3" spans="1:10" ht="25.5" customHeight="1" x14ac:dyDescent="0.2">
      <c r="A3" s="634" t="s">
        <v>0</v>
      </c>
      <c r="B3" s="634"/>
      <c r="C3" s="634"/>
      <c r="D3" s="634"/>
      <c r="E3" s="634"/>
      <c r="F3" s="634"/>
      <c r="G3" s="634"/>
    </row>
    <row r="4" spans="1:10" ht="25.5" customHeight="1" x14ac:dyDescent="0.2">
      <c r="A4" s="635" t="s">
        <v>106</v>
      </c>
      <c r="B4" s="635"/>
      <c r="C4" s="635"/>
      <c r="D4" s="635"/>
      <c r="E4" s="635"/>
      <c r="F4" s="635"/>
      <c r="G4" s="635"/>
    </row>
    <row r="5" spans="1:10" ht="15" customHeight="1" x14ac:dyDescent="0.25">
      <c r="A5" s="2"/>
      <c r="B5" s="2"/>
      <c r="C5" s="2"/>
      <c r="D5" s="2"/>
      <c r="E5" s="2"/>
      <c r="F5" s="2"/>
      <c r="G5" s="2"/>
    </row>
    <row r="6" spans="1:10" ht="15" customHeight="1" x14ac:dyDescent="0.25">
      <c r="A6" s="2"/>
      <c r="B6" s="2"/>
      <c r="C6" s="2"/>
      <c r="D6" s="2"/>
      <c r="E6" s="2"/>
      <c r="F6" s="2"/>
      <c r="G6" s="2"/>
    </row>
    <row r="7" spans="1:10" ht="15" customHeight="1" x14ac:dyDescent="0.25">
      <c r="A7" s="638" t="s">
        <v>683</v>
      </c>
      <c r="B7" s="638"/>
      <c r="C7" s="638"/>
      <c r="D7" s="638"/>
      <c r="E7" s="638"/>
      <c r="F7" s="638"/>
      <c r="G7" s="638"/>
    </row>
    <row r="8" spans="1:10" ht="15" customHeight="1" x14ac:dyDescent="0.25">
      <c r="A8" s="638" t="s">
        <v>971</v>
      </c>
      <c r="B8" s="638"/>
      <c r="C8" s="638"/>
      <c r="D8" s="638"/>
      <c r="E8" s="638"/>
      <c r="F8" s="638"/>
      <c r="G8" s="638"/>
    </row>
    <row r="9" spans="1:10" ht="15" customHeight="1" x14ac:dyDescent="0.25">
      <c r="A9" s="638" t="s">
        <v>1</v>
      </c>
      <c r="B9" s="638"/>
      <c r="C9" s="638"/>
      <c r="D9" s="638"/>
      <c r="E9" s="638"/>
      <c r="F9" s="638"/>
      <c r="G9" s="638"/>
    </row>
    <row r="10" spans="1:10" ht="15" customHeight="1" x14ac:dyDescent="0.2">
      <c r="A10" s="637"/>
      <c r="B10" s="637"/>
      <c r="C10" s="637"/>
      <c r="D10" s="637"/>
      <c r="E10" s="637"/>
      <c r="F10" s="637"/>
      <c r="G10" s="637"/>
    </row>
    <row r="11" spans="1:10" ht="18.75" customHeight="1" x14ac:dyDescent="0.2">
      <c r="A11" s="3"/>
      <c r="B11" s="3"/>
      <c r="C11" s="3"/>
      <c r="D11" s="3"/>
      <c r="E11" s="3"/>
      <c r="F11" s="3"/>
      <c r="G11" s="3"/>
    </row>
    <row r="12" spans="1:10" ht="18.75" customHeight="1" x14ac:dyDescent="0.2">
      <c r="A12" s="3"/>
      <c r="B12" s="3"/>
      <c r="C12" s="3"/>
      <c r="D12" s="3"/>
      <c r="E12" s="3"/>
      <c r="F12" s="3"/>
      <c r="G12" s="3"/>
    </row>
    <row r="13" spans="1:10" ht="18.75" customHeight="1" x14ac:dyDescent="0.2">
      <c r="A13" s="5"/>
      <c r="C13" s="629" t="s">
        <v>43</v>
      </c>
      <c r="D13" s="344"/>
      <c r="E13" s="5"/>
      <c r="F13" s="629" t="s">
        <v>5</v>
      </c>
      <c r="G13" s="4"/>
    </row>
    <row r="14" spans="1:10" ht="18.75" customHeight="1" x14ac:dyDescent="0.2">
      <c r="A14" s="5"/>
      <c r="B14" s="147"/>
      <c r="C14" s="629"/>
      <c r="D14" s="344"/>
      <c r="E14" s="5"/>
      <c r="F14" s="629" t="s">
        <v>5</v>
      </c>
      <c r="G14" s="4"/>
    </row>
    <row r="15" spans="1:10" ht="18.75" customHeight="1" x14ac:dyDescent="0.2">
      <c r="A15" s="5"/>
      <c r="B15" s="147"/>
      <c r="C15" s="629"/>
      <c r="D15" s="344"/>
      <c r="E15" s="5"/>
      <c r="F15" s="629"/>
      <c r="G15" s="4"/>
      <c r="I15" s="275"/>
      <c r="J15" s="275"/>
    </row>
    <row r="16" spans="1:10" s="19" customFormat="1" ht="18.75" customHeight="1" x14ac:dyDescent="0.2">
      <c r="A16" s="16"/>
      <c r="B16" s="16"/>
      <c r="C16" s="16"/>
      <c r="D16" s="16"/>
      <c r="E16" s="16"/>
      <c r="F16" s="17"/>
      <c r="G16" s="18"/>
      <c r="I16" s="381"/>
      <c r="J16" s="381"/>
    </row>
    <row r="17" spans="1:11" s="19" customFormat="1" ht="18.75" customHeight="1" x14ac:dyDescent="0.2">
      <c r="A17" s="16"/>
      <c r="B17" s="16"/>
      <c r="C17" s="16" t="s">
        <v>13</v>
      </c>
      <c r="D17" s="16"/>
      <c r="E17" s="16"/>
      <c r="F17" s="174">
        <f>+'BZA DE COMP'!H74</f>
        <v>5043915356</v>
      </c>
      <c r="G17" s="18"/>
      <c r="I17" s="381"/>
      <c r="J17" s="381"/>
    </row>
    <row r="18" spans="1:11" s="19" customFormat="1" ht="18.75" customHeight="1" x14ac:dyDescent="0.2">
      <c r="A18" s="16"/>
      <c r="B18" s="16"/>
      <c r="G18" s="18"/>
      <c r="I18" s="381"/>
      <c r="J18" s="381"/>
    </row>
    <row r="19" spans="1:11" s="19" customFormat="1" ht="18.75" customHeight="1" x14ac:dyDescent="0.2">
      <c r="A19" s="16"/>
      <c r="B19" s="16"/>
      <c r="C19" s="16" t="s">
        <v>19</v>
      </c>
      <c r="D19" s="16"/>
      <c r="E19" s="16"/>
      <c r="F19" s="174">
        <f>+'BZA DE COMP'!H75</f>
        <v>77136402</v>
      </c>
      <c r="G19" s="18"/>
      <c r="I19" s="381"/>
      <c r="J19" s="381"/>
    </row>
    <row r="20" spans="1:11" s="19" customFormat="1" ht="18.75" customHeight="1" x14ac:dyDescent="0.2">
      <c r="A20" s="16"/>
      <c r="B20" s="16"/>
      <c r="G20" s="18"/>
      <c r="I20" s="381"/>
      <c r="J20" s="381"/>
    </row>
    <row r="21" spans="1:11" s="19" customFormat="1" ht="18.75" customHeight="1" x14ac:dyDescent="0.2">
      <c r="A21" s="16"/>
      <c r="B21" s="16"/>
      <c r="C21" s="16" t="s">
        <v>20</v>
      </c>
      <c r="D21" s="16"/>
      <c r="E21" s="16"/>
      <c r="F21" s="174">
        <f>+'BZA DE COMP'!H76</f>
        <v>162761870</v>
      </c>
      <c r="G21" s="18"/>
      <c r="I21" s="381"/>
      <c r="J21" s="381"/>
    </row>
    <row r="22" spans="1:11" s="19" customFormat="1" ht="18.75" customHeight="1" x14ac:dyDescent="0.2">
      <c r="A22" s="16"/>
      <c r="G22" s="18"/>
    </row>
    <row r="23" spans="1:11" s="19" customFormat="1" ht="18.75" customHeight="1" x14ac:dyDescent="0.2">
      <c r="A23" s="16"/>
      <c r="C23" s="175" t="s">
        <v>87</v>
      </c>
      <c r="D23" s="175"/>
      <c r="E23" s="175"/>
      <c r="F23" s="300">
        <f>+'BZA DE COMP'!H77</f>
        <v>232382610</v>
      </c>
      <c r="G23" s="18"/>
      <c r="I23" s="18"/>
      <c r="J23" s="295"/>
      <c r="K23" s="295"/>
    </row>
    <row r="24" spans="1:11" s="19" customFormat="1" ht="18.75" customHeight="1" x14ac:dyDescent="0.2">
      <c r="A24" s="16"/>
      <c r="B24" s="295"/>
      <c r="C24" s="19" t="s">
        <v>909</v>
      </c>
      <c r="G24" s="18"/>
      <c r="I24" s="478"/>
      <c r="J24" s="18"/>
      <c r="K24" s="295"/>
    </row>
    <row r="25" spans="1:11" s="19" customFormat="1" ht="18.75" customHeight="1" x14ac:dyDescent="0.2">
      <c r="C25" s="521" t="s">
        <v>904</v>
      </c>
      <c r="D25" s="358">
        <f>140013701+3473763</f>
        <v>143487464</v>
      </c>
      <c r="G25" s="18"/>
      <c r="I25" s="478"/>
      <c r="J25" s="18"/>
      <c r="K25" s="295"/>
    </row>
    <row r="26" spans="1:11" s="19" customFormat="1" ht="18.75" customHeight="1" x14ac:dyDescent="0.2">
      <c r="C26" s="521" t="s">
        <v>905</v>
      </c>
      <c r="D26" s="358">
        <v>2180880</v>
      </c>
      <c r="G26" s="18"/>
      <c r="I26" s="478"/>
      <c r="J26" s="18"/>
      <c r="K26" s="295"/>
    </row>
    <row r="27" spans="1:11" s="19" customFormat="1" ht="18.75" customHeight="1" x14ac:dyDescent="0.2">
      <c r="C27" s="521" t="s">
        <v>906</v>
      </c>
      <c r="D27" s="358">
        <f>1627746+4400730</f>
        <v>6028476</v>
      </c>
      <c r="G27" s="18"/>
      <c r="I27" s="478"/>
      <c r="J27" s="295"/>
      <c r="K27" s="295"/>
    </row>
    <row r="28" spans="1:11" s="19" customFormat="1" ht="18.75" customHeight="1" x14ac:dyDescent="0.2">
      <c r="C28" s="521" t="s">
        <v>907</v>
      </c>
      <c r="D28" s="358">
        <v>654369</v>
      </c>
      <c r="G28" s="18"/>
      <c r="I28" s="381"/>
    </row>
    <row r="29" spans="1:11" s="19" customFormat="1" ht="18.75" customHeight="1" x14ac:dyDescent="0.2">
      <c r="A29" s="16"/>
      <c r="B29" s="295"/>
      <c r="C29" s="521" t="s">
        <v>908</v>
      </c>
      <c r="D29" s="358">
        <f>2021174+2006179</f>
        <v>4027353</v>
      </c>
    </row>
    <row r="30" spans="1:11" s="19" customFormat="1" ht="18.75" customHeight="1" x14ac:dyDescent="0.2">
      <c r="A30" s="16"/>
      <c r="C30" s="521" t="s">
        <v>948</v>
      </c>
      <c r="D30" s="358">
        <v>5729333</v>
      </c>
    </row>
    <row r="31" spans="1:11" s="19" customFormat="1" ht="18.75" customHeight="1" x14ac:dyDescent="0.2">
      <c r="A31" s="16"/>
      <c r="B31" s="295"/>
      <c r="C31" s="19" t="s">
        <v>910</v>
      </c>
      <c r="D31" s="358"/>
    </row>
    <row r="32" spans="1:11" s="19" customFormat="1" ht="18.75" customHeight="1" x14ac:dyDescent="0.2">
      <c r="A32" s="16"/>
      <c r="B32" s="295"/>
      <c r="C32" s="522" t="s">
        <v>911</v>
      </c>
      <c r="D32" s="358">
        <v>1188719</v>
      </c>
    </row>
    <row r="33" spans="1:9" s="19" customFormat="1" ht="18.75" customHeight="1" x14ac:dyDescent="0.2">
      <c r="A33" s="16"/>
      <c r="B33" s="295"/>
      <c r="C33" s="522" t="s">
        <v>912</v>
      </c>
      <c r="D33" s="358">
        <v>587706</v>
      </c>
      <c r="G33" s="18"/>
    </row>
    <row r="34" spans="1:9" s="19" customFormat="1" ht="18.75" customHeight="1" x14ac:dyDescent="0.2">
      <c r="A34" s="16"/>
      <c r="C34" s="19" t="s">
        <v>913</v>
      </c>
      <c r="D34" s="358"/>
      <c r="G34" s="18"/>
    </row>
    <row r="35" spans="1:9" s="19" customFormat="1" ht="18.75" customHeight="1" x14ac:dyDescent="0.2">
      <c r="A35" s="16"/>
      <c r="C35" s="521" t="s">
        <v>914</v>
      </c>
      <c r="D35" s="358">
        <f>570133+499685+401598</f>
        <v>1471416</v>
      </c>
      <c r="G35" s="18"/>
    </row>
    <row r="36" spans="1:9" s="19" customFormat="1" ht="18.75" customHeight="1" x14ac:dyDescent="0.2">
      <c r="A36" s="16"/>
      <c r="C36" s="521" t="s">
        <v>915</v>
      </c>
      <c r="D36" s="228">
        <f>570133+1239372</f>
        <v>1809505</v>
      </c>
      <c r="G36" s="18"/>
    </row>
    <row r="37" spans="1:9" s="19" customFormat="1" ht="18.75" customHeight="1" x14ac:dyDescent="0.2">
      <c r="A37" s="16"/>
      <c r="C37" s="19" t="s">
        <v>974</v>
      </c>
      <c r="D37" s="358">
        <f>62407973-2006179-401598</f>
        <v>60000196</v>
      </c>
      <c r="G37" s="18"/>
      <c r="I37" s="523"/>
    </row>
    <row r="38" spans="1:9" s="19" customFormat="1" ht="18.75" customHeight="1" x14ac:dyDescent="0.2">
      <c r="A38" s="16"/>
      <c r="C38" s="19" t="s">
        <v>916</v>
      </c>
      <c r="D38" s="228">
        <f>296790+844085+937765</f>
        <v>2078640</v>
      </c>
      <c r="G38" s="18"/>
      <c r="I38" s="523"/>
    </row>
    <row r="39" spans="1:9" s="19" customFormat="1" ht="18.75" customHeight="1" x14ac:dyDescent="0.2">
      <c r="A39" s="16"/>
      <c r="C39" s="19" t="s">
        <v>917</v>
      </c>
      <c r="D39" s="524">
        <f>800340+5000</f>
        <v>805340</v>
      </c>
      <c r="G39" s="18"/>
    </row>
    <row r="40" spans="1:9" s="19" customFormat="1" ht="18.75" customHeight="1" x14ac:dyDescent="0.2">
      <c r="A40" s="16"/>
      <c r="G40" s="18"/>
    </row>
    <row r="41" spans="1:9" s="19" customFormat="1" ht="18.75" customHeight="1" x14ac:dyDescent="0.2">
      <c r="A41" s="16"/>
      <c r="C41" s="16" t="s">
        <v>86</v>
      </c>
      <c r="D41" s="18"/>
      <c r="E41" s="16"/>
      <c r="F41" s="174">
        <f>+'BZA DE COMP'!H78</f>
        <v>0</v>
      </c>
      <c r="G41" s="18"/>
    </row>
    <row r="42" spans="1:9" s="19" customFormat="1" ht="18.75" customHeight="1" x14ac:dyDescent="0.2">
      <c r="A42" s="16"/>
      <c r="B42" s="16"/>
      <c r="D42" s="233"/>
      <c r="G42" s="18"/>
    </row>
    <row r="43" spans="1:9" s="19" customFormat="1" ht="18.75" customHeight="1" x14ac:dyDescent="0.2">
      <c r="A43" s="16"/>
      <c r="B43" s="16"/>
      <c r="C43" s="16" t="s">
        <v>88</v>
      </c>
      <c r="D43" s="228"/>
      <c r="E43" s="20"/>
      <c r="F43" s="174">
        <f>+'BZA DE COMP'!H79</f>
        <v>0</v>
      </c>
      <c r="G43" s="18"/>
    </row>
    <row r="44" spans="1:9" s="19" customFormat="1" ht="18.75" customHeight="1" x14ac:dyDescent="0.2">
      <c r="A44" s="16"/>
      <c r="B44" s="16"/>
      <c r="C44" s="16"/>
      <c r="D44" s="16"/>
      <c r="E44" s="16"/>
      <c r="F44" s="17"/>
      <c r="G44" s="18"/>
    </row>
    <row r="45" spans="1:9" s="19" customFormat="1" ht="18.75" customHeight="1" x14ac:dyDescent="0.2">
      <c r="A45" s="16"/>
      <c r="B45" s="16"/>
      <c r="G45" s="18"/>
    </row>
    <row r="46" spans="1:9" s="19" customFormat="1" ht="18.75" customHeight="1" x14ac:dyDescent="0.2">
      <c r="A46" s="16"/>
      <c r="B46" s="16"/>
      <c r="G46" s="18"/>
    </row>
    <row r="47" spans="1:9" s="19" customFormat="1" ht="18.75" customHeight="1" x14ac:dyDescent="0.2">
      <c r="A47" s="16"/>
      <c r="B47" s="16"/>
      <c r="G47" s="18"/>
    </row>
    <row r="48" spans="1:9" s="19" customFormat="1" ht="18.75" customHeight="1" x14ac:dyDescent="0.2">
      <c r="A48" s="16"/>
      <c r="B48" s="16"/>
      <c r="G48" s="18"/>
    </row>
    <row r="49" spans="1:7" s="19" customFormat="1" ht="18.75" customHeight="1" x14ac:dyDescent="0.2">
      <c r="A49" s="16"/>
      <c r="B49" s="16"/>
      <c r="C49" s="16"/>
      <c r="D49" s="16"/>
      <c r="E49" s="16"/>
      <c r="F49" s="17"/>
      <c r="G49" s="18"/>
    </row>
    <row r="50" spans="1:7" s="19" customFormat="1" ht="18.75" customHeight="1" x14ac:dyDescent="0.2">
      <c r="A50" s="16"/>
      <c r="B50" s="16"/>
      <c r="C50" s="16"/>
      <c r="D50" s="16"/>
      <c r="E50" s="16"/>
      <c r="F50" s="17"/>
      <c r="G50" s="18"/>
    </row>
    <row r="51" spans="1:7" s="19" customFormat="1" ht="18.75" customHeight="1" x14ac:dyDescent="0.2">
      <c r="A51" s="16"/>
      <c r="B51" s="16"/>
      <c r="C51" s="16"/>
      <c r="D51" s="16"/>
      <c r="E51" s="16"/>
      <c r="F51" s="17"/>
      <c r="G51" s="18"/>
    </row>
    <row r="52" spans="1:7" s="19" customFormat="1" ht="18.75" customHeight="1" x14ac:dyDescent="0.2">
      <c r="A52" s="16"/>
      <c r="B52" s="16"/>
      <c r="C52" s="16"/>
      <c r="D52" s="16"/>
      <c r="E52" s="16"/>
      <c r="F52" s="17"/>
      <c r="G52" s="18"/>
    </row>
    <row r="53" spans="1:7" s="19" customFormat="1" ht="18.75" hidden="1" customHeight="1" x14ac:dyDescent="0.2">
      <c r="A53" s="16"/>
      <c r="B53" s="16"/>
      <c r="C53" s="16"/>
      <c r="D53" s="16"/>
      <c r="E53" s="16"/>
      <c r="F53" s="17"/>
      <c r="G53" s="18"/>
    </row>
    <row r="54" spans="1:7" s="19" customFormat="1" ht="18.75" customHeight="1" x14ac:dyDescent="0.2">
      <c r="A54" s="16"/>
      <c r="B54" s="16"/>
      <c r="C54" s="16"/>
      <c r="D54" s="16"/>
      <c r="E54" s="16"/>
      <c r="F54" s="17"/>
      <c r="G54" s="18"/>
    </row>
    <row r="55" spans="1:7" s="19" customFormat="1" ht="18.75" customHeight="1" x14ac:dyDescent="0.2">
      <c r="A55" s="16"/>
      <c r="B55" s="16"/>
      <c r="C55" s="16"/>
      <c r="D55" s="16"/>
      <c r="E55" s="16"/>
      <c r="F55" s="17"/>
      <c r="G55" s="18"/>
    </row>
    <row r="56" spans="1:7" s="173" customFormat="1" ht="18.75" customHeight="1" x14ac:dyDescent="0.25">
      <c r="A56" s="21"/>
      <c r="B56" s="636" t="s">
        <v>82</v>
      </c>
      <c r="C56" s="636"/>
      <c r="D56" s="347"/>
      <c r="E56" s="21"/>
      <c r="F56" s="347">
        <f>+F17+F19+F21+F23+F41+F43</f>
        <v>5516196238</v>
      </c>
      <c r="G56" s="161"/>
    </row>
    <row r="57" spans="1:7" s="19" customFormat="1" ht="18.75" customHeight="1" x14ac:dyDescent="0.2">
      <c r="A57" s="22" t="s">
        <v>4</v>
      </c>
      <c r="B57" s="22"/>
      <c r="C57" s="22"/>
      <c r="D57" s="22"/>
      <c r="E57" s="22"/>
      <c r="F57" s="22"/>
      <c r="G57" s="22"/>
    </row>
    <row r="58" spans="1:7" s="24" customFormat="1" ht="16.5" customHeight="1" x14ac:dyDescent="0.2">
      <c r="A58" s="23"/>
      <c r="B58" s="23"/>
      <c r="C58" s="23"/>
      <c r="D58" s="23"/>
      <c r="E58" s="23"/>
      <c r="F58" s="176">
        <f>+'BZA DE COMP'!H81-'EGRESOS ACUMULADO'!F56</f>
        <v>0</v>
      </c>
      <c r="G58" s="25"/>
    </row>
    <row r="59" spans="1:7" x14ac:dyDescent="0.2">
      <c r="A59" s="6"/>
      <c r="B59" s="6"/>
      <c r="C59" s="6"/>
      <c r="D59" s="6"/>
      <c r="E59" s="6"/>
      <c r="F59" s="6"/>
      <c r="G59" s="6"/>
    </row>
    <row r="60" spans="1:7" ht="15" x14ac:dyDescent="0.2">
      <c r="A60" s="6"/>
      <c r="B60" s="6"/>
      <c r="C60" s="6"/>
      <c r="D60" s="6"/>
      <c r="E60" s="6"/>
      <c r="F60" s="26"/>
      <c r="G60" s="6"/>
    </row>
    <row r="61" spans="1:7" x14ac:dyDescent="0.2">
      <c r="A61" s="6"/>
      <c r="B61" s="6"/>
      <c r="C61" s="6"/>
      <c r="D61" s="6"/>
      <c r="E61" s="6"/>
      <c r="F61" s="6"/>
      <c r="G61" s="6"/>
    </row>
    <row r="62" spans="1:7" x14ac:dyDescent="0.2">
      <c r="A62" s="6"/>
      <c r="B62" s="6"/>
      <c r="C62" s="6"/>
      <c r="D62" s="6"/>
      <c r="E62" s="6"/>
      <c r="F62" s="6"/>
      <c r="G62" s="6"/>
    </row>
    <row r="63" spans="1:7" x14ac:dyDescent="0.2">
      <c r="A63" s="6"/>
      <c r="B63" s="6"/>
      <c r="C63" s="6"/>
      <c r="D63" s="6"/>
      <c r="E63" s="6"/>
      <c r="F63" s="10"/>
      <c r="G63" s="6"/>
    </row>
    <row r="64" spans="1:7" x14ac:dyDescent="0.2">
      <c r="A64" s="6"/>
      <c r="B64" s="6"/>
      <c r="C64" s="6"/>
      <c r="D64" s="6"/>
      <c r="E64" s="6"/>
      <c r="F64" s="6"/>
      <c r="G64" s="6"/>
    </row>
    <row r="65" spans="1:7" x14ac:dyDescent="0.2">
      <c r="A65" s="6"/>
      <c r="B65" s="6"/>
      <c r="C65" s="6"/>
      <c r="D65" s="6"/>
      <c r="E65" s="6"/>
      <c r="F65" s="6"/>
      <c r="G65" s="6"/>
    </row>
    <row r="66" spans="1:7" x14ac:dyDescent="0.2">
      <c r="A66" s="6"/>
      <c r="B66" s="6"/>
      <c r="C66" s="6"/>
      <c r="D66" s="6"/>
      <c r="E66" s="6"/>
      <c r="F66" s="10"/>
      <c r="G66" s="6"/>
    </row>
    <row r="67" spans="1:7" x14ac:dyDescent="0.2">
      <c r="A67" s="6"/>
      <c r="B67" s="6"/>
      <c r="C67" s="6"/>
      <c r="D67" s="6"/>
      <c r="E67" s="6"/>
      <c r="F67" s="6"/>
      <c r="G67" s="6"/>
    </row>
    <row r="68" spans="1:7" x14ac:dyDescent="0.2">
      <c r="A68" s="6"/>
      <c r="B68" s="6"/>
      <c r="C68" s="6"/>
      <c r="D68" s="6"/>
      <c r="E68" s="6"/>
      <c r="F68" s="6"/>
      <c r="G68" s="6"/>
    </row>
    <row r="69" spans="1:7" x14ac:dyDescent="0.2">
      <c r="A69" s="6"/>
      <c r="B69" s="6"/>
      <c r="C69" s="6"/>
      <c r="D69" s="6"/>
      <c r="E69" s="6"/>
      <c r="F69" s="6"/>
      <c r="G69" s="6"/>
    </row>
    <row r="70" spans="1:7" x14ac:dyDescent="0.2">
      <c r="A70" s="6"/>
      <c r="B70" s="6"/>
      <c r="C70" s="6"/>
      <c r="D70" s="6"/>
      <c r="E70" s="6"/>
      <c r="F70" s="6"/>
      <c r="G70" s="6"/>
    </row>
    <row r="71" spans="1:7" x14ac:dyDescent="0.2">
      <c r="A71" s="6"/>
      <c r="B71" s="6"/>
      <c r="C71" s="6"/>
      <c r="D71" s="6"/>
      <c r="E71" s="6"/>
      <c r="F71" s="6"/>
      <c r="G71" s="6"/>
    </row>
    <row r="72" spans="1:7" x14ac:dyDescent="0.2">
      <c r="A72" s="6"/>
      <c r="B72" s="6"/>
      <c r="C72" s="6"/>
      <c r="D72" s="6"/>
      <c r="E72" s="6"/>
      <c r="F72" s="6"/>
      <c r="G72" s="6"/>
    </row>
    <row r="73" spans="1:7" x14ac:dyDescent="0.2">
      <c r="A73" s="6"/>
      <c r="B73" s="6"/>
      <c r="C73" s="6"/>
      <c r="D73" s="6"/>
      <c r="E73" s="6"/>
      <c r="F73" s="6"/>
      <c r="G73" s="6"/>
    </row>
    <row r="74" spans="1:7" x14ac:dyDescent="0.2">
      <c r="A74" s="6"/>
      <c r="B74" s="6"/>
      <c r="C74" s="6"/>
      <c r="D74" s="6"/>
      <c r="E74" s="6"/>
      <c r="F74" s="6"/>
      <c r="G74" s="6"/>
    </row>
    <row r="75" spans="1:7" x14ac:dyDescent="0.2">
      <c r="A75" s="6"/>
      <c r="B75" s="6"/>
      <c r="C75" s="6"/>
      <c r="D75" s="6"/>
      <c r="E75" s="6"/>
      <c r="F75" s="6"/>
      <c r="G75" s="6"/>
    </row>
    <row r="76" spans="1:7" x14ac:dyDescent="0.2">
      <c r="A76" s="6"/>
      <c r="B76" s="6"/>
      <c r="C76" s="6"/>
      <c r="D76" s="6"/>
      <c r="E76" s="6"/>
      <c r="F76" s="6"/>
      <c r="G76" s="6"/>
    </row>
    <row r="77" spans="1:7" x14ac:dyDescent="0.2">
      <c r="A77" s="6"/>
      <c r="B77" s="6"/>
      <c r="C77" s="6"/>
      <c r="D77" s="6"/>
      <c r="E77" s="6"/>
      <c r="F77" s="6"/>
      <c r="G77" s="6"/>
    </row>
    <row r="78" spans="1:7" x14ac:dyDescent="0.2">
      <c r="A78" s="6"/>
      <c r="B78" s="6"/>
      <c r="C78" s="6"/>
      <c r="D78" s="6"/>
      <c r="E78" s="6"/>
      <c r="F78" s="6"/>
      <c r="G78" s="6"/>
    </row>
    <row r="79" spans="1:7" x14ac:dyDescent="0.2">
      <c r="A79" s="6"/>
      <c r="B79" s="6"/>
      <c r="C79" s="6"/>
      <c r="D79" s="6"/>
      <c r="E79" s="6"/>
      <c r="F79" s="6"/>
      <c r="G79" s="6"/>
    </row>
    <row r="80" spans="1:7" x14ac:dyDescent="0.2">
      <c r="A80" s="6"/>
      <c r="B80" s="6"/>
      <c r="C80" s="6"/>
      <c r="D80" s="6"/>
      <c r="E80" s="6"/>
      <c r="F80" s="6"/>
      <c r="G80" s="6"/>
    </row>
    <row r="81" spans="1:8" x14ac:dyDescent="0.2">
      <c r="A81" s="6"/>
      <c r="B81" s="6"/>
      <c r="C81" s="6"/>
      <c r="D81" s="6"/>
      <c r="E81" s="6"/>
      <c r="F81" s="6"/>
      <c r="G81" s="6"/>
    </row>
    <row r="82" spans="1:8" x14ac:dyDescent="0.2">
      <c r="A82" s="6"/>
      <c r="B82" s="6"/>
      <c r="C82" s="6"/>
      <c r="D82" s="6"/>
      <c r="E82" s="6"/>
      <c r="F82" s="6"/>
      <c r="G82" s="6"/>
    </row>
    <row r="83" spans="1:8" x14ac:dyDescent="0.2">
      <c r="A83" s="6"/>
      <c r="B83" s="6"/>
      <c r="C83" s="6"/>
      <c r="D83" s="6"/>
      <c r="E83" s="6"/>
      <c r="F83" s="6"/>
      <c r="G83" s="6"/>
    </row>
    <row r="84" spans="1:8" x14ac:dyDescent="0.2">
      <c r="A84" s="6"/>
      <c r="B84" s="6"/>
      <c r="C84" s="6"/>
      <c r="D84" s="6"/>
      <c r="E84" s="6"/>
      <c r="F84" s="6"/>
      <c r="G84" s="6"/>
    </row>
    <row r="85" spans="1:8" x14ac:dyDescent="0.2">
      <c r="A85" s="6"/>
      <c r="B85" s="6"/>
      <c r="C85" s="6"/>
      <c r="D85" s="6"/>
      <c r="E85" s="6"/>
      <c r="F85" s="6"/>
      <c r="G85" s="6"/>
    </row>
    <row r="86" spans="1:8" x14ac:dyDescent="0.2">
      <c r="A86" s="6"/>
      <c r="B86" s="6"/>
      <c r="C86" s="6"/>
      <c r="D86" s="6"/>
      <c r="E86" s="6"/>
      <c r="F86" s="6"/>
      <c r="G86" s="6"/>
    </row>
    <row r="87" spans="1:8" x14ac:dyDescent="0.2">
      <c r="A87" s="6"/>
      <c r="B87" s="6"/>
      <c r="C87" s="6"/>
      <c r="D87" s="6"/>
      <c r="E87" s="6"/>
      <c r="F87" s="6"/>
      <c r="G87" s="6"/>
    </row>
    <row r="88" spans="1:8" x14ac:dyDescent="0.2">
      <c r="A88" s="6"/>
      <c r="B88" s="6"/>
      <c r="C88" s="6"/>
      <c r="D88" s="6"/>
      <c r="E88" s="6"/>
      <c r="F88" s="6"/>
      <c r="G88" s="6"/>
    </row>
    <row r="89" spans="1:8" x14ac:dyDescent="0.2">
      <c r="A89" s="6"/>
      <c r="B89" s="6"/>
      <c r="C89" s="6"/>
      <c r="D89" s="6"/>
      <c r="E89" s="6"/>
      <c r="F89" s="6"/>
      <c r="G89" s="6"/>
    </row>
    <row r="90" spans="1:8" x14ac:dyDescent="0.2">
      <c r="A90" s="11"/>
      <c r="B90" s="11"/>
      <c r="C90" s="11"/>
      <c r="D90" s="11"/>
      <c r="E90" s="11"/>
      <c r="F90" s="11"/>
      <c r="G90" s="11"/>
    </row>
    <row r="91" spans="1:8" s="1" customFormat="1" x14ac:dyDescent="0.2">
      <c r="A91" s="7"/>
      <c r="B91" s="7"/>
      <c r="C91" s="7"/>
      <c r="D91" s="7"/>
      <c r="E91" s="7"/>
      <c r="F91" s="7"/>
      <c r="G91" s="7"/>
    </row>
    <row r="92" spans="1:8" s="1" customFormat="1" x14ac:dyDescent="0.2">
      <c r="A92" s="9"/>
      <c r="B92" s="9"/>
      <c r="C92" s="9"/>
      <c r="D92" s="9"/>
      <c r="E92" s="9"/>
      <c r="F92" s="9"/>
      <c r="G92" s="9"/>
    </row>
    <row r="93" spans="1:8" s="1" customFormat="1" ht="15" x14ac:dyDescent="0.25">
      <c r="A93" s="12"/>
      <c r="B93" s="12"/>
      <c r="C93" s="12"/>
      <c r="D93" s="12"/>
      <c r="E93" s="12"/>
      <c r="F93" s="12"/>
      <c r="G93" s="12"/>
    </row>
    <row r="94" spans="1:8" s="8" customFormat="1" x14ac:dyDescent="0.2">
      <c r="A94" s="9"/>
      <c r="B94" s="9"/>
      <c r="C94" s="9"/>
      <c r="D94" s="9"/>
      <c r="E94" s="9"/>
      <c r="F94" s="9"/>
      <c r="G94" s="9"/>
      <c r="H94" s="13"/>
    </row>
    <row r="95" spans="1:8" s="1" customFormat="1" x14ac:dyDescent="0.2">
      <c r="A95" s="14"/>
      <c r="B95" s="14"/>
      <c r="C95" s="14"/>
      <c r="D95" s="14"/>
      <c r="E95" s="14"/>
      <c r="F95" s="14"/>
      <c r="G95" s="14"/>
    </row>
    <row r="96" spans="1:8" s="1" customFormat="1" x14ac:dyDescent="0.2">
      <c r="A96" s="15"/>
      <c r="B96" s="15"/>
      <c r="C96" s="15"/>
      <c r="D96" s="15"/>
      <c r="E96" s="15"/>
      <c r="F96" s="15"/>
      <c r="G96" s="15"/>
    </row>
    <row r="97" spans="1:7" s="1" customFormat="1" x14ac:dyDescent="0.2">
      <c r="A97" s="15"/>
      <c r="B97" s="15"/>
      <c r="C97" s="15"/>
      <c r="D97" s="15"/>
      <c r="E97" s="15"/>
      <c r="F97" s="15"/>
      <c r="G97" s="15"/>
    </row>
    <row r="98" spans="1:7" x14ac:dyDescent="0.2">
      <c r="A98" s="11"/>
      <c r="B98" s="11"/>
      <c r="C98" s="11"/>
      <c r="D98" s="11"/>
      <c r="E98" s="11"/>
      <c r="F98" s="11"/>
      <c r="G98" s="11"/>
    </row>
    <row r="99" spans="1:7" x14ac:dyDescent="0.2">
      <c r="A99" s="11"/>
      <c r="B99" s="11"/>
      <c r="C99" s="11"/>
      <c r="D99" s="11"/>
      <c r="E99" s="11"/>
      <c r="F99" s="11"/>
      <c r="G99" s="11"/>
    </row>
    <row r="100" spans="1:7" x14ac:dyDescent="0.2">
      <c r="A100" s="11"/>
      <c r="B100" s="11"/>
      <c r="C100" s="11"/>
      <c r="D100" s="11"/>
      <c r="E100" s="11"/>
      <c r="F100" s="11"/>
      <c r="G100" s="11"/>
    </row>
    <row r="101" spans="1:7" x14ac:dyDescent="0.2">
      <c r="A101" s="11"/>
      <c r="B101" s="11"/>
      <c r="C101" s="11"/>
      <c r="D101" s="11"/>
      <c r="E101" s="11"/>
      <c r="F101" s="11"/>
      <c r="G101" s="11"/>
    </row>
    <row r="102" spans="1:7" x14ac:dyDescent="0.2">
      <c r="A102" s="11"/>
      <c r="B102" s="11"/>
      <c r="C102" s="11"/>
      <c r="D102" s="11"/>
      <c r="E102" s="11"/>
      <c r="F102" s="11"/>
      <c r="G102" s="11"/>
    </row>
    <row r="103" spans="1:7" x14ac:dyDescent="0.2">
      <c r="A103" s="11"/>
      <c r="B103" s="11"/>
      <c r="C103" s="11"/>
      <c r="D103" s="11"/>
      <c r="E103" s="11"/>
      <c r="F103" s="11"/>
      <c r="G103" s="11"/>
    </row>
    <row r="104" spans="1:7" x14ac:dyDescent="0.2">
      <c r="A104" s="11"/>
      <c r="B104" s="11"/>
      <c r="C104" s="11"/>
      <c r="D104" s="11"/>
      <c r="E104" s="11"/>
      <c r="F104" s="11"/>
      <c r="G104" s="11"/>
    </row>
    <row r="105" spans="1:7" x14ac:dyDescent="0.2">
      <c r="A105" s="11"/>
      <c r="B105" s="11"/>
      <c r="C105" s="11"/>
      <c r="D105" s="11"/>
      <c r="E105" s="11"/>
      <c r="F105" s="11"/>
      <c r="G105" s="11"/>
    </row>
    <row r="106" spans="1:7" x14ac:dyDescent="0.2">
      <c r="A106" s="11"/>
      <c r="B106" s="11"/>
      <c r="C106" s="11"/>
      <c r="D106" s="11"/>
      <c r="E106" s="11"/>
      <c r="F106" s="11"/>
      <c r="G106" s="11"/>
    </row>
  </sheetData>
  <mergeCells count="9">
    <mergeCell ref="A3:G3"/>
    <mergeCell ref="A4:G4"/>
    <mergeCell ref="A7:G7"/>
    <mergeCell ref="A8:G8"/>
    <mergeCell ref="B56:C56"/>
    <mergeCell ref="A9:G9"/>
    <mergeCell ref="A10:G10"/>
    <mergeCell ref="C13:C15"/>
    <mergeCell ref="F13:F15"/>
  </mergeCells>
  <phoneticPr fontId="10" type="noConversion"/>
  <printOptions horizontalCentered="1" verticalCentered="1"/>
  <pageMargins left="0.78740157480314965" right="0.78740157480314965" top="0.59055118110236227" bottom="0.59055118110236227" header="0" footer="0"/>
  <pageSetup scale="7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6"/>
  <sheetViews>
    <sheetView topLeftCell="A34" workbookViewId="0">
      <selection activeCell="C43" sqref="C43"/>
    </sheetView>
  </sheetViews>
  <sheetFormatPr baseColWidth="10" defaultRowHeight="12.75" x14ac:dyDescent="0.2"/>
  <cols>
    <col min="1" max="2" width="4.28515625" customWidth="1"/>
    <col min="3" max="3" width="88.5703125" customWidth="1"/>
    <col min="4" max="4" width="4.28515625" customWidth="1"/>
    <col min="5" max="5" width="21.42578125" customWidth="1"/>
    <col min="6" max="6" width="4.28515625" customWidth="1"/>
    <col min="7" max="7" width="8.85546875" customWidth="1"/>
    <col min="8" max="8" width="18.7109375" bestFit="1" customWidth="1"/>
  </cols>
  <sheetData>
    <row r="2" spans="1:6" ht="15" customHeight="1" x14ac:dyDescent="0.2"/>
    <row r="3" spans="1:6" ht="25.5" customHeight="1" x14ac:dyDescent="0.2">
      <c r="A3" s="634" t="s">
        <v>0</v>
      </c>
      <c r="B3" s="634"/>
      <c r="C3" s="634"/>
      <c r="D3" s="634"/>
      <c r="E3" s="634"/>
      <c r="F3" s="634"/>
    </row>
    <row r="4" spans="1:6" ht="25.5" customHeight="1" x14ac:dyDescent="0.2">
      <c r="A4" s="635" t="s">
        <v>106</v>
      </c>
      <c r="B4" s="635"/>
      <c r="C4" s="635"/>
      <c r="D4" s="635"/>
      <c r="E4" s="635"/>
      <c r="F4" s="635"/>
    </row>
    <row r="5" spans="1:6" ht="15" customHeight="1" x14ac:dyDescent="0.25">
      <c r="A5" s="2"/>
      <c r="B5" s="2"/>
      <c r="C5" s="2"/>
      <c r="D5" s="2"/>
      <c r="E5" s="2"/>
      <c r="F5" s="2"/>
    </row>
    <row r="6" spans="1:6" ht="15" customHeight="1" x14ac:dyDescent="0.25">
      <c r="A6" s="2"/>
      <c r="B6" s="2"/>
      <c r="C6" s="2"/>
      <c r="D6" s="2"/>
      <c r="E6" s="2"/>
      <c r="F6" s="2"/>
    </row>
    <row r="7" spans="1:6" ht="15" customHeight="1" x14ac:dyDescent="0.25">
      <c r="A7" s="638" t="s">
        <v>85</v>
      </c>
      <c r="B7" s="638"/>
      <c r="C7" s="638"/>
      <c r="D7" s="638"/>
      <c r="E7" s="638"/>
      <c r="F7" s="638"/>
    </row>
    <row r="8" spans="1:6" ht="15" customHeight="1" x14ac:dyDescent="0.25">
      <c r="A8" s="638" t="s">
        <v>970</v>
      </c>
      <c r="B8" s="638"/>
      <c r="C8" s="638"/>
      <c r="D8" s="638"/>
      <c r="E8" s="638"/>
      <c r="F8" s="638"/>
    </row>
    <row r="9" spans="1:6" ht="15" customHeight="1" x14ac:dyDescent="0.25">
      <c r="A9" s="638" t="s">
        <v>1</v>
      </c>
      <c r="B9" s="638"/>
      <c r="C9" s="638"/>
      <c r="D9" s="638"/>
      <c r="E9" s="638"/>
      <c r="F9" s="638"/>
    </row>
    <row r="10" spans="1:6" ht="15" customHeight="1" x14ac:dyDescent="0.2">
      <c r="A10" s="637"/>
      <c r="B10" s="637"/>
      <c r="C10" s="637"/>
      <c r="D10" s="637"/>
      <c r="E10" s="637"/>
      <c r="F10" s="637"/>
    </row>
    <row r="11" spans="1:6" ht="18.75" customHeight="1" x14ac:dyDescent="0.2">
      <c r="A11" s="3"/>
      <c r="B11" s="3"/>
      <c r="C11" s="3"/>
      <c r="D11" s="3"/>
      <c r="E11" s="3"/>
      <c r="F11" s="3"/>
    </row>
    <row r="12" spans="1:6" ht="18.75" customHeight="1" x14ac:dyDescent="0.2">
      <c r="A12" s="3"/>
      <c r="B12" s="3"/>
      <c r="C12" s="3"/>
      <c r="D12" s="3"/>
      <c r="E12" s="3"/>
      <c r="F12" s="3"/>
    </row>
    <row r="13" spans="1:6" ht="18.75" customHeight="1" x14ac:dyDescent="0.2">
      <c r="A13" s="5"/>
      <c r="C13" s="629" t="s">
        <v>43</v>
      </c>
      <c r="D13" s="5"/>
      <c r="E13" s="629" t="s">
        <v>5</v>
      </c>
      <c r="F13" s="4"/>
    </row>
    <row r="14" spans="1:6" ht="18.75" customHeight="1" x14ac:dyDescent="0.2">
      <c r="A14" s="5"/>
      <c r="B14" s="147"/>
      <c r="C14" s="629"/>
      <c r="D14" s="5"/>
      <c r="E14" s="629" t="s">
        <v>5</v>
      </c>
      <c r="F14" s="4"/>
    </row>
    <row r="15" spans="1:6" ht="18.75" customHeight="1" x14ac:dyDescent="0.2">
      <c r="A15" s="5"/>
      <c r="B15" s="147"/>
      <c r="C15" s="629"/>
      <c r="D15" s="5"/>
      <c r="E15" s="629"/>
      <c r="F15" s="4"/>
    </row>
    <row r="16" spans="1:6" s="19" customFormat="1" ht="18.75" customHeight="1" x14ac:dyDescent="0.2">
      <c r="A16" s="16"/>
      <c r="B16" s="16"/>
      <c r="C16" s="16"/>
      <c r="D16" s="16"/>
      <c r="E16" s="17"/>
      <c r="F16" s="18"/>
    </row>
    <row r="17" spans="1:9" s="19" customFormat="1" ht="18.75" customHeight="1" x14ac:dyDescent="0.2">
      <c r="A17" s="16"/>
      <c r="B17" s="16"/>
      <c r="C17" s="16"/>
      <c r="D17" s="16"/>
      <c r="E17" s="17"/>
      <c r="F17" s="18"/>
    </row>
    <row r="18" spans="1:9" s="19" customFormat="1" ht="18.75" customHeight="1" x14ac:dyDescent="0.2">
      <c r="A18" s="16"/>
      <c r="B18" s="16"/>
      <c r="C18" s="16" t="s">
        <v>86</v>
      </c>
      <c r="D18" s="16"/>
      <c r="E18" s="17">
        <f>+'BZA DE COMP'!H54</f>
        <v>577035241</v>
      </c>
      <c r="F18" s="18"/>
    </row>
    <row r="19" spans="1:9" s="19" customFormat="1" ht="18.75" customHeight="1" x14ac:dyDescent="0.2">
      <c r="A19" s="16"/>
      <c r="B19" s="16"/>
      <c r="F19" s="18"/>
    </row>
    <row r="20" spans="1:9" s="19" customFormat="1" ht="18.75" customHeight="1" x14ac:dyDescent="0.2">
      <c r="A20" s="16"/>
      <c r="B20" s="16"/>
      <c r="C20" s="16" t="s">
        <v>80</v>
      </c>
      <c r="D20" s="16"/>
      <c r="E20" s="17">
        <f>+'BZA DE COMP'!H55</f>
        <v>-299784591</v>
      </c>
      <c r="F20" s="18"/>
    </row>
    <row r="21" spans="1:9" s="19" customFormat="1" ht="18.75" customHeight="1" x14ac:dyDescent="0.2">
      <c r="A21" s="16"/>
      <c r="B21" s="16"/>
      <c r="C21" s="20"/>
      <c r="D21" s="20"/>
      <c r="E21" s="17"/>
      <c r="F21" s="18"/>
    </row>
    <row r="22" spans="1:9" s="19" customFormat="1" ht="18.75" customHeight="1" x14ac:dyDescent="0.2">
      <c r="A22" s="16"/>
      <c r="C22" s="20" t="s">
        <v>79</v>
      </c>
      <c r="D22" s="20"/>
      <c r="E22" s="17">
        <f>+'BZA DE COMP'!H69-'BZA DE COMP'!H81</f>
        <v>278434086</v>
      </c>
      <c r="F22" s="18"/>
      <c r="H22" s="381"/>
      <c r="I22" s="292"/>
    </row>
    <row r="23" spans="1:9" s="19" customFormat="1" ht="18.75" customHeight="1" x14ac:dyDescent="0.2">
      <c r="A23" s="16"/>
      <c r="F23" s="18"/>
    </row>
    <row r="24" spans="1:9" s="19" customFormat="1" ht="18.75" customHeight="1" x14ac:dyDescent="0.2">
      <c r="A24" s="16"/>
      <c r="F24" s="18"/>
    </row>
    <row r="25" spans="1:9" s="19" customFormat="1" ht="18.75" customHeight="1" x14ac:dyDescent="0.2">
      <c r="A25" s="16"/>
      <c r="C25" s="20"/>
      <c r="D25" s="20"/>
      <c r="E25" s="17"/>
      <c r="F25" s="18"/>
    </row>
    <row r="26" spans="1:9" s="19" customFormat="1" ht="18.75" customHeight="1" x14ac:dyDescent="0.2">
      <c r="A26" s="16"/>
      <c r="C26" s="20"/>
      <c r="D26" s="20"/>
      <c r="E26" s="17"/>
      <c r="F26" s="18"/>
    </row>
    <row r="27" spans="1:9" s="19" customFormat="1" ht="18.75" customHeight="1" x14ac:dyDescent="0.2">
      <c r="A27" s="16"/>
      <c r="C27" s="20"/>
      <c r="D27" s="20"/>
      <c r="E27" s="17"/>
      <c r="F27" s="18"/>
    </row>
    <row r="28" spans="1:9" s="19" customFormat="1" ht="18.75" customHeight="1" x14ac:dyDescent="0.2">
      <c r="A28" s="16"/>
      <c r="C28" s="20"/>
      <c r="D28" s="20"/>
      <c r="E28" s="17"/>
      <c r="F28" s="18"/>
    </row>
    <row r="29" spans="1:9" s="19" customFormat="1" ht="18.75" customHeight="1" x14ac:dyDescent="0.2">
      <c r="A29" s="16"/>
      <c r="C29" s="20"/>
      <c r="D29" s="20"/>
      <c r="E29" s="17"/>
      <c r="F29" s="18"/>
    </row>
    <row r="30" spans="1:9" s="19" customFormat="1" ht="18.75" customHeight="1" x14ac:dyDescent="0.2">
      <c r="A30" s="16"/>
      <c r="C30" s="20"/>
      <c r="D30" s="20"/>
      <c r="E30" s="17"/>
      <c r="F30" s="18"/>
    </row>
    <row r="31" spans="1:9" s="19" customFormat="1" ht="18.75" customHeight="1" x14ac:dyDescent="0.2">
      <c r="A31" s="16"/>
      <c r="C31" s="20"/>
      <c r="D31" s="20"/>
      <c r="E31" s="17"/>
      <c r="F31" s="18"/>
    </row>
    <row r="32" spans="1:9" s="19" customFormat="1" ht="18.75" customHeight="1" x14ac:dyDescent="0.2">
      <c r="A32" s="16"/>
      <c r="C32" s="20"/>
      <c r="D32" s="20"/>
      <c r="E32" s="17"/>
      <c r="F32" s="18"/>
    </row>
    <row r="33" spans="1:6" s="19" customFormat="1" ht="18.75" customHeight="1" x14ac:dyDescent="0.2">
      <c r="A33" s="16"/>
      <c r="C33" s="20"/>
      <c r="D33" s="20"/>
      <c r="E33" s="17"/>
      <c r="F33" s="18"/>
    </row>
    <row r="34" spans="1:6" s="19" customFormat="1" ht="18.75" customHeight="1" x14ac:dyDescent="0.2">
      <c r="A34" s="16"/>
      <c r="C34" s="20"/>
      <c r="D34" s="20"/>
      <c r="E34" s="17"/>
      <c r="F34" s="18"/>
    </row>
    <row r="35" spans="1:6" s="19" customFormat="1" ht="18.75" customHeight="1" x14ac:dyDescent="0.2">
      <c r="A35" s="16"/>
      <c r="C35" s="20"/>
      <c r="D35" s="20"/>
      <c r="E35" s="17"/>
      <c r="F35" s="18"/>
    </row>
    <row r="36" spans="1:6" s="19" customFormat="1" ht="18.75" customHeight="1" x14ac:dyDescent="0.2">
      <c r="A36" s="16"/>
      <c r="C36" s="20"/>
      <c r="D36" s="20"/>
      <c r="E36" s="17"/>
      <c r="F36" s="18"/>
    </row>
    <row r="37" spans="1:6" s="19" customFormat="1" ht="18.75" customHeight="1" x14ac:dyDescent="0.2">
      <c r="A37" s="16"/>
      <c r="C37" s="20"/>
      <c r="D37" s="20"/>
      <c r="E37" s="17"/>
      <c r="F37" s="18"/>
    </row>
    <row r="38" spans="1:6" s="19" customFormat="1" ht="18.75" customHeight="1" x14ac:dyDescent="0.2">
      <c r="A38" s="16"/>
      <c r="C38" s="20"/>
      <c r="D38" s="20"/>
      <c r="E38" s="17"/>
      <c r="F38" s="18"/>
    </row>
    <row r="39" spans="1:6" s="19" customFormat="1" ht="18.75" customHeight="1" x14ac:dyDescent="0.2">
      <c r="A39" s="16"/>
      <c r="C39" s="20"/>
      <c r="D39" s="20"/>
      <c r="E39" s="17"/>
      <c r="F39" s="18"/>
    </row>
    <row r="40" spans="1:6" s="19" customFormat="1" ht="18.75" customHeight="1" x14ac:dyDescent="0.2">
      <c r="A40" s="16"/>
      <c r="C40" s="20"/>
      <c r="D40" s="20"/>
      <c r="E40" s="17"/>
      <c r="F40" s="18"/>
    </row>
    <row r="41" spans="1:6" s="19" customFormat="1" ht="18.75" customHeight="1" x14ac:dyDescent="0.2">
      <c r="A41" s="16"/>
      <c r="B41" s="16"/>
      <c r="C41" s="16"/>
      <c r="D41" s="16"/>
      <c r="E41" s="17"/>
      <c r="F41" s="18"/>
    </row>
    <row r="42" spans="1:6" s="19" customFormat="1" ht="18.75" customHeight="1" x14ac:dyDescent="0.2">
      <c r="A42" s="16"/>
      <c r="B42" s="16"/>
      <c r="C42" s="16"/>
      <c r="D42" s="16"/>
      <c r="E42" s="17"/>
      <c r="F42" s="18"/>
    </row>
    <row r="43" spans="1:6" s="19" customFormat="1" ht="18.75" customHeight="1" x14ac:dyDescent="0.2">
      <c r="A43" s="16"/>
      <c r="B43" s="16"/>
      <c r="C43" s="16"/>
      <c r="D43" s="16"/>
      <c r="E43" s="17"/>
      <c r="F43" s="18"/>
    </row>
    <row r="44" spans="1:6" s="19" customFormat="1" ht="18.75" customHeight="1" x14ac:dyDescent="0.2">
      <c r="A44" s="16"/>
      <c r="B44" s="16"/>
      <c r="C44" s="16"/>
      <c r="D44" s="16"/>
      <c r="E44" s="17"/>
      <c r="F44" s="18"/>
    </row>
    <row r="45" spans="1:6" s="19" customFormat="1" ht="18.75" customHeight="1" x14ac:dyDescent="0.2">
      <c r="A45" s="16"/>
      <c r="B45" s="16"/>
      <c r="C45" s="16"/>
      <c r="D45" s="16"/>
      <c r="E45" s="17"/>
      <c r="F45" s="18"/>
    </row>
    <row r="46" spans="1:6" s="19" customFormat="1" ht="18.75" customHeight="1" x14ac:dyDescent="0.2">
      <c r="A46" s="16"/>
      <c r="B46" s="16"/>
      <c r="C46" s="16"/>
      <c r="D46" s="16"/>
      <c r="E46" s="17"/>
      <c r="F46" s="18"/>
    </row>
    <row r="47" spans="1:6" s="19" customFormat="1" ht="18.75" customHeight="1" x14ac:dyDescent="0.2">
      <c r="A47" s="16"/>
      <c r="B47" s="16"/>
      <c r="C47" s="16"/>
      <c r="D47" s="16"/>
      <c r="E47" s="17"/>
      <c r="F47" s="18"/>
    </row>
    <row r="48" spans="1:6" s="19" customFormat="1" ht="18.75" customHeight="1" x14ac:dyDescent="0.2">
      <c r="A48" s="16"/>
      <c r="B48" s="16"/>
      <c r="C48" s="16"/>
      <c r="D48" s="16"/>
      <c r="E48" s="17"/>
      <c r="F48" s="18"/>
    </row>
    <row r="49" spans="1:6" s="19" customFormat="1" ht="18.75" customHeight="1" x14ac:dyDescent="0.2">
      <c r="A49" s="16"/>
      <c r="B49" s="16"/>
      <c r="C49" s="16"/>
      <c r="D49" s="16"/>
      <c r="E49" s="17"/>
      <c r="F49" s="18"/>
    </row>
    <row r="50" spans="1:6" s="19" customFormat="1" ht="18.75" customHeight="1" x14ac:dyDescent="0.2">
      <c r="A50" s="16"/>
      <c r="B50" s="16"/>
      <c r="C50" s="16"/>
      <c r="D50" s="16"/>
      <c r="E50" s="17"/>
      <c r="F50" s="18"/>
    </row>
    <row r="51" spans="1:6" s="19" customFormat="1" ht="18.75" customHeight="1" x14ac:dyDescent="0.2">
      <c r="A51" s="16"/>
      <c r="B51" s="16"/>
      <c r="C51" s="16"/>
      <c r="D51" s="16"/>
      <c r="E51" s="17"/>
      <c r="F51" s="18"/>
    </row>
    <row r="52" spans="1:6" s="19" customFormat="1" ht="18.75" customHeight="1" x14ac:dyDescent="0.2">
      <c r="A52" s="16"/>
      <c r="B52" s="16"/>
      <c r="C52" s="16"/>
      <c r="D52" s="16"/>
      <c r="E52" s="17"/>
      <c r="F52" s="18"/>
    </row>
    <row r="53" spans="1:6" s="19" customFormat="1" ht="18.75" hidden="1" customHeight="1" x14ac:dyDescent="0.2">
      <c r="A53" s="16"/>
      <c r="B53" s="16"/>
      <c r="C53" s="16"/>
      <c r="D53" s="16"/>
      <c r="E53" s="17"/>
      <c r="F53" s="18"/>
    </row>
    <row r="54" spans="1:6" s="19" customFormat="1" ht="18.75" customHeight="1" x14ac:dyDescent="0.2">
      <c r="A54" s="16"/>
      <c r="B54" s="16"/>
      <c r="C54" s="16"/>
      <c r="D54" s="16"/>
      <c r="E54" s="17"/>
      <c r="F54" s="18"/>
    </row>
    <row r="55" spans="1:6" s="19" customFormat="1" ht="18.75" customHeight="1" x14ac:dyDescent="0.2">
      <c r="A55" s="16"/>
      <c r="B55" s="16"/>
      <c r="C55" s="16"/>
      <c r="D55" s="16"/>
      <c r="E55" s="17"/>
      <c r="F55" s="18"/>
    </row>
    <row r="56" spans="1:6" s="173" customFormat="1" ht="18.75" customHeight="1" x14ac:dyDescent="0.25">
      <c r="A56" s="21"/>
      <c r="B56" s="636" t="s">
        <v>82</v>
      </c>
      <c r="C56" s="636"/>
      <c r="D56" s="21"/>
      <c r="E56" s="347">
        <f>SUM(E16:E54)</f>
        <v>555684736</v>
      </c>
      <c r="F56" s="161"/>
    </row>
    <row r="57" spans="1:6" s="19" customFormat="1" ht="18.75" customHeight="1" x14ac:dyDescent="0.2">
      <c r="A57" s="22" t="s">
        <v>4</v>
      </c>
      <c r="B57" s="22"/>
      <c r="C57" s="22"/>
      <c r="D57" s="22"/>
      <c r="E57" s="22"/>
      <c r="F57" s="22"/>
    </row>
    <row r="58" spans="1:6" s="24" customFormat="1" ht="16.5" customHeight="1" x14ac:dyDescent="0.2">
      <c r="A58" s="23"/>
      <c r="B58" s="23"/>
      <c r="C58" s="23"/>
      <c r="D58" s="23"/>
      <c r="E58" s="176">
        <f>+E56-'BZA DE COMP'!H57</f>
        <v>278434086</v>
      </c>
      <c r="F58" s="25"/>
    </row>
    <row r="59" spans="1:6" x14ac:dyDescent="0.2">
      <c r="A59" s="6"/>
      <c r="B59" s="6"/>
      <c r="C59" s="6"/>
      <c r="D59" s="6"/>
      <c r="E59" s="6"/>
      <c r="F59" s="6"/>
    </row>
    <row r="60" spans="1:6" ht="15" x14ac:dyDescent="0.2">
      <c r="A60" s="6"/>
      <c r="B60" s="6"/>
      <c r="C60" s="6"/>
      <c r="D60" s="6"/>
      <c r="E60" s="26"/>
      <c r="F60" s="6"/>
    </row>
    <row r="61" spans="1:6" x14ac:dyDescent="0.2">
      <c r="A61" s="6"/>
      <c r="B61" s="6"/>
      <c r="C61" s="6"/>
      <c r="D61" s="6"/>
      <c r="E61" s="6"/>
      <c r="F61" s="6"/>
    </row>
    <row r="62" spans="1:6" x14ac:dyDescent="0.2">
      <c r="A62" s="6"/>
      <c r="B62" s="6"/>
      <c r="C62" s="6"/>
      <c r="D62" s="6"/>
      <c r="E62" s="6"/>
      <c r="F62" s="6"/>
    </row>
    <row r="63" spans="1:6" x14ac:dyDescent="0.2">
      <c r="A63" s="6"/>
      <c r="B63" s="6"/>
      <c r="C63" s="6"/>
      <c r="D63" s="6"/>
      <c r="E63" s="10"/>
      <c r="F63" s="6"/>
    </row>
    <row r="64" spans="1:6" x14ac:dyDescent="0.2">
      <c r="A64" s="6"/>
      <c r="B64" s="6"/>
      <c r="C64" s="6"/>
      <c r="D64" s="6"/>
      <c r="E64" s="6"/>
      <c r="F64" s="6"/>
    </row>
    <row r="65" spans="1:6" x14ac:dyDescent="0.2">
      <c r="A65" s="6"/>
      <c r="B65" s="6"/>
      <c r="C65" s="6"/>
      <c r="D65" s="6"/>
      <c r="E65" s="6"/>
      <c r="F65" s="6"/>
    </row>
    <row r="66" spans="1:6" x14ac:dyDescent="0.2">
      <c r="A66" s="6"/>
      <c r="B66" s="6"/>
      <c r="C66" s="6"/>
      <c r="D66" s="6"/>
      <c r="E66" s="10"/>
      <c r="F66" s="6"/>
    </row>
    <row r="67" spans="1:6" x14ac:dyDescent="0.2">
      <c r="A67" s="6"/>
      <c r="B67" s="6"/>
      <c r="C67" s="6"/>
      <c r="D67" s="6"/>
      <c r="E67" s="6"/>
      <c r="F67" s="6"/>
    </row>
    <row r="68" spans="1:6" x14ac:dyDescent="0.2">
      <c r="A68" s="6"/>
      <c r="B68" s="6"/>
      <c r="C68" s="6"/>
      <c r="D68" s="6"/>
      <c r="E68" s="6"/>
      <c r="F68" s="6"/>
    </row>
    <row r="69" spans="1:6" x14ac:dyDescent="0.2">
      <c r="A69" s="6"/>
      <c r="B69" s="6"/>
      <c r="C69" s="6"/>
      <c r="D69" s="6"/>
      <c r="E69" s="6"/>
      <c r="F69" s="6"/>
    </row>
    <row r="70" spans="1:6" x14ac:dyDescent="0.2">
      <c r="A70" s="6"/>
      <c r="B70" s="6"/>
      <c r="C70" s="6"/>
      <c r="D70" s="6"/>
      <c r="E70" s="6"/>
      <c r="F70" s="6"/>
    </row>
    <row r="71" spans="1:6" x14ac:dyDescent="0.2">
      <c r="A71" s="6"/>
      <c r="B71" s="6"/>
      <c r="C71" s="6"/>
      <c r="D71" s="6"/>
      <c r="E71" s="6"/>
      <c r="F71" s="6"/>
    </row>
    <row r="72" spans="1:6" x14ac:dyDescent="0.2">
      <c r="A72" s="6"/>
      <c r="B72" s="6"/>
      <c r="C72" s="6"/>
      <c r="D72" s="6"/>
      <c r="E72" s="6"/>
      <c r="F72" s="6"/>
    </row>
    <row r="73" spans="1:6" x14ac:dyDescent="0.2">
      <c r="A73" s="6"/>
      <c r="B73" s="6"/>
      <c r="C73" s="6"/>
      <c r="D73" s="6"/>
      <c r="E73" s="6"/>
      <c r="F73" s="6"/>
    </row>
    <row r="74" spans="1:6" x14ac:dyDescent="0.2">
      <c r="A74" s="6"/>
      <c r="B74" s="6"/>
      <c r="C74" s="6"/>
      <c r="D74" s="6"/>
      <c r="E74" s="6"/>
      <c r="F74" s="6"/>
    </row>
    <row r="75" spans="1:6" x14ac:dyDescent="0.2">
      <c r="A75" s="6"/>
      <c r="B75" s="6"/>
      <c r="C75" s="6"/>
      <c r="D75" s="6"/>
      <c r="E75" s="6"/>
      <c r="F75" s="6"/>
    </row>
    <row r="76" spans="1:6" x14ac:dyDescent="0.2">
      <c r="A76" s="6"/>
      <c r="B76" s="6"/>
      <c r="C76" s="6"/>
      <c r="D76" s="6"/>
      <c r="E76" s="6"/>
      <c r="F76" s="6"/>
    </row>
    <row r="77" spans="1:6" x14ac:dyDescent="0.2">
      <c r="A77" s="6"/>
      <c r="B77" s="6"/>
      <c r="C77" s="6"/>
      <c r="D77" s="6"/>
      <c r="E77" s="6"/>
      <c r="F77" s="6"/>
    </row>
    <row r="78" spans="1:6" x14ac:dyDescent="0.2">
      <c r="A78" s="6"/>
      <c r="B78" s="6"/>
      <c r="C78" s="6"/>
      <c r="D78" s="6"/>
      <c r="E78" s="6"/>
      <c r="F78" s="6"/>
    </row>
    <row r="79" spans="1:6" x14ac:dyDescent="0.2">
      <c r="A79" s="6"/>
      <c r="B79" s="6"/>
      <c r="C79" s="6"/>
      <c r="D79" s="6"/>
      <c r="E79" s="6"/>
      <c r="F79" s="6"/>
    </row>
    <row r="80" spans="1:6" x14ac:dyDescent="0.2">
      <c r="A80" s="6"/>
      <c r="B80" s="6"/>
      <c r="C80" s="6"/>
      <c r="D80" s="6"/>
      <c r="E80" s="6"/>
      <c r="F80" s="6"/>
    </row>
    <row r="81" spans="1:7" x14ac:dyDescent="0.2">
      <c r="A81" s="6"/>
      <c r="B81" s="6"/>
      <c r="C81" s="6"/>
      <c r="D81" s="6"/>
      <c r="E81" s="6"/>
      <c r="F81" s="6"/>
    </row>
    <row r="82" spans="1:7" x14ac:dyDescent="0.2">
      <c r="A82" s="6"/>
      <c r="B82" s="6"/>
      <c r="C82" s="6"/>
      <c r="D82" s="6"/>
      <c r="E82" s="6"/>
      <c r="F82" s="6"/>
    </row>
    <row r="83" spans="1:7" x14ac:dyDescent="0.2">
      <c r="A83" s="6"/>
      <c r="B83" s="6"/>
      <c r="C83" s="6"/>
      <c r="D83" s="6"/>
      <c r="E83" s="6"/>
      <c r="F83" s="6"/>
    </row>
    <row r="84" spans="1:7" x14ac:dyDescent="0.2">
      <c r="A84" s="6"/>
      <c r="B84" s="6"/>
      <c r="C84" s="6"/>
      <c r="D84" s="6"/>
      <c r="E84" s="6"/>
      <c r="F84" s="6"/>
    </row>
    <row r="85" spans="1:7" x14ac:dyDescent="0.2">
      <c r="A85" s="6"/>
      <c r="B85" s="6"/>
      <c r="C85" s="6"/>
      <c r="D85" s="6"/>
      <c r="E85" s="6"/>
      <c r="F85" s="6"/>
    </row>
    <row r="86" spans="1:7" x14ac:dyDescent="0.2">
      <c r="A86" s="6"/>
      <c r="B86" s="6"/>
      <c r="C86" s="6"/>
      <c r="D86" s="6"/>
      <c r="E86" s="6"/>
      <c r="F86" s="6"/>
    </row>
    <row r="87" spans="1:7" x14ac:dyDescent="0.2">
      <c r="A87" s="6"/>
      <c r="B87" s="6"/>
      <c r="C87" s="6"/>
      <c r="D87" s="6"/>
      <c r="E87" s="6"/>
      <c r="F87" s="6"/>
    </row>
    <row r="88" spans="1:7" x14ac:dyDescent="0.2">
      <c r="A88" s="6"/>
      <c r="B88" s="6"/>
      <c r="C88" s="6"/>
      <c r="D88" s="6"/>
      <c r="E88" s="6"/>
      <c r="F88" s="6"/>
    </row>
    <row r="89" spans="1:7" x14ac:dyDescent="0.2">
      <c r="A89" s="6"/>
      <c r="B89" s="6"/>
      <c r="C89" s="6"/>
      <c r="D89" s="6"/>
      <c r="E89" s="6"/>
      <c r="F89" s="6"/>
    </row>
    <row r="90" spans="1:7" x14ac:dyDescent="0.2">
      <c r="A90" s="11"/>
      <c r="B90" s="11"/>
      <c r="C90" s="11"/>
      <c r="D90" s="11"/>
      <c r="E90" s="11"/>
      <c r="F90" s="11"/>
    </row>
    <row r="91" spans="1:7" s="1" customFormat="1" x14ac:dyDescent="0.2">
      <c r="A91" s="7"/>
      <c r="B91" s="7"/>
      <c r="C91" s="7"/>
      <c r="D91" s="7"/>
      <c r="E91" s="7"/>
      <c r="F91" s="7"/>
    </row>
    <row r="92" spans="1:7" s="1" customFormat="1" x14ac:dyDescent="0.2">
      <c r="A92" s="9"/>
      <c r="B92" s="9"/>
      <c r="C92" s="9"/>
      <c r="D92" s="9"/>
      <c r="E92" s="9"/>
      <c r="F92" s="9"/>
    </row>
    <row r="93" spans="1:7" s="1" customFormat="1" ht="15" x14ac:dyDescent="0.25">
      <c r="A93" s="12"/>
      <c r="B93" s="12"/>
      <c r="C93" s="12"/>
      <c r="D93" s="12"/>
      <c r="E93" s="12"/>
      <c r="F93" s="12"/>
    </row>
    <row r="94" spans="1:7" s="8" customFormat="1" x14ac:dyDescent="0.2">
      <c r="A94" s="9"/>
      <c r="B94" s="9"/>
      <c r="C94" s="9"/>
      <c r="D94" s="9"/>
      <c r="E94" s="9"/>
      <c r="F94" s="9"/>
      <c r="G94" s="13"/>
    </row>
    <row r="95" spans="1:7" s="1" customFormat="1" x14ac:dyDescent="0.2">
      <c r="A95" s="14"/>
      <c r="B95" s="14"/>
      <c r="C95" s="14"/>
      <c r="D95" s="14"/>
      <c r="E95" s="14"/>
      <c r="F95" s="14"/>
    </row>
    <row r="96" spans="1:7" s="1" customFormat="1" x14ac:dyDescent="0.2">
      <c r="A96" s="15"/>
      <c r="B96" s="15"/>
      <c r="C96" s="15"/>
      <c r="D96" s="15"/>
      <c r="E96" s="15"/>
      <c r="F96" s="15"/>
    </row>
    <row r="97" spans="1:6" s="1" customFormat="1" x14ac:dyDescent="0.2">
      <c r="A97" s="15"/>
      <c r="B97" s="15"/>
      <c r="C97" s="15"/>
      <c r="D97" s="15"/>
      <c r="E97" s="15"/>
      <c r="F97" s="15"/>
    </row>
    <row r="98" spans="1:6" x14ac:dyDescent="0.2">
      <c r="A98" s="11"/>
      <c r="B98" s="11"/>
      <c r="C98" s="11"/>
      <c r="D98" s="11"/>
      <c r="E98" s="11"/>
      <c r="F98" s="11"/>
    </row>
    <row r="99" spans="1:6" x14ac:dyDescent="0.2">
      <c r="A99" s="11"/>
      <c r="B99" s="11"/>
      <c r="C99" s="11"/>
      <c r="D99" s="11"/>
      <c r="E99" s="11"/>
      <c r="F99" s="11"/>
    </row>
    <row r="100" spans="1:6" x14ac:dyDescent="0.2">
      <c r="A100" s="11"/>
      <c r="B100" s="11"/>
      <c r="C100" s="11"/>
      <c r="D100" s="11"/>
      <c r="E100" s="11"/>
      <c r="F100" s="11"/>
    </row>
    <row r="101" spans="1:6" x14ac:dyDescent="0.2">
      <c r="A101" s="11"/>
      <c r="B101" s="11"/>
      <c r="C101" s="11"/>
      <c r="D101" s="11"/>
      <c r="E101" s="11"/>
      <c r="F101" s="11"/>
    </row>
    <row r="102" spans="1:6" x14ac:dyDescent="0.2">
      <c r="A102" s="11"/>
      <c r="B102" s="11"/>
      <c r="C102" s="11"/>
      <c r="D102" s="11"/>
      <c r="E102" s="11"/>
      <c r="F102" s="11"/>
    </row>
    <row r="103" spans="1:6" x14ac:dyDescent="0.2">
      <c r="A103" s="11"/>
      <c r="B103" s="11"/>
      <c r="C103" s="11"/>
      <c r="D103" s="11"/>
      <c r="E103" s="11"/>
      <c r="F103" s="11"/>
    </row>
    <row r="104" spans="1:6" x14ac:dyDescent="0.2">
      <c r="A104" s="11"/>
      <c r="B104" s="11"/>
      <c r="C104" s="11"/>
      <c r="D104" s="11"/>
      <c r="E104" s="11"/>
      <c r="F104" s="11"/>
    </row>
    <row r="105" spans="1:6" x14ac:dyDescent="0.2">
      <c r="A105" s="11"/>
      <c r="B105" s="11"/>
      <c r="C105" s="11"/>
      <c r="D105" s="11"/>
      <c r="E105" s="11"/>
      <c r="F105" s="11"/>
    </row>
    <row r="106" spans="1:6" x14ac:dyDescent="0.2">
      <c r="A106" s="11"/>
      <c r="B106" s="11"/>
      <c r="C106" s="11"/>
      <c r="D106" s="11"/>
      <c r="E106" s="11"/>
      <c r="F106" s="11"/>
    </row>
  </sheetData>
  <mergeCells count="9">
    <mergeCell ref="A3:F3"/>
    <mergeCell ref="A4:F4"/>
    <mergeCell ref="A7:F7"/>
    <mergeCell ref="A8:F8"/>
    <mergeCell ref="B56:C56"/>
    <mergeCell ref="A9:F9"/>
    <mergeCell ref="A10:F10"/>
    <mergeCell ref="C13:C15"/>
    <mergeCell ref="E13:E15"/>
  </mergeCells>
  <phoneticPr fontId="10" type="noConversion"/>
  <printOptions horizontalCentered="1" verticalCentered="1"/>
  <pageMargins left="0.78740157480314965" right="0.78740157480314965" top="0.59055118110236227" bottom="0.59055118110236227" header="0" footer="0"/>
  <pageSetup scale="7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5"/>
  <sheetViews>
    <sheetView view="pageBreakPreview" zoomScale="70" zoomScaleNormal="70" zoomScaleSheetLayoutView="70" workbookViewId="0">
      <selection activeCell="K29" sqref="K29"/>
    </sheetView>
  </sheetViews>
  <sheetFormatPr baseColWidth="10" defaultRowHeight="15.75" customHeight="1" x14ac:dyDescent="0.2"/>
  <cols>
    <col min="1" max="1" width="2.85546875" style="32" customWidth="1"/>
    <col min="2" max="2" width="42.85546875" style="32" customWidth="1"/>
    <col min="3" max="3" width="2.85546875" style="32" customWidth="1"/>
    <col min="4" max="4" width="14.28515625" style="32" customWidth="1"/>
    <col min="5" max="5" width="2.85546875" style="33" customWidth="1"/>
    <col min="6" max="11" width="16.140625" style="32" customWidth="1"/>
    <col min="12" max="12" width="2.85546875" style="33" customWidth="1"/>
    <col min="13" max="13" width="31.5703125" style="32" bestFit="1" customWidth="1"/>
    <col min="14" max="14" width="2.85546875" style="32" customWidth="1"/>
    <col min="15" max="15" width="11.42578125" style="32"/>
    <col min="16" max="17" width="20.7109375" style="32" bestFit="1" customWidth="1"/>
    <col min="18" max="19" width="11.42578125" style="32"/>
    <col min="20" max="20" width="20.85546875" style="32" customWidth="1"/>
    <col min="21" max="16384" width="11.42578125" style="32"/>
  </cols>
  <sheetData>
    <row r="1" spans="1:18" s="33" customFormat="1" ht="9" customHeight="1" x14ac:dyDescent="0.2"/>
    <row r="2" spans="1:18" s="33" customFormat="1" ht="29.25" customHeight="1" x14ac:dyDescent="0.2">
      <c r="A2" s="619" t="s">
        <v>7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</row>
    <row r="3" spans="1:18" s="33" customFormat="1" ht="29.25" customHeight="1" x14ac:dyDescent="0.2">
      <c r="A3" s="619" t="s">
        <v>106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</row>
    <row r="4" spans="1:18" s="33" customFormat="1" ht="9" customHeight="1" x14ac:dyDescent="0.2">
      <c r="A4" s="622"/>
      <c r="B4" s="622"/>
      <c r="C4" s="622"/>
      <c r="D4" s="622"/>
      <c r="E4" s="622"/>
      <c r="F4" s="622"/>
      <c r="G4" s="64"/>
      <c r="H4" s="64"/>
      <c r="I4" s="64"/>
      <c r="J4" s="64"/>
      <c r="K4" s="64"/>
      <c r="L4" s="64"/>
      <c r="M4" s="64"/>
    </row>
    <row r="5" spans="1:18" s="33" customFormat="1" ht="15.75" customHeight="1" x14ac:dyDescent="0.2"/>
    <row r="6" spans="1:18" s="33" customFormat="1" ht="15.75" customHeight="1" x14ac:dyDescent="0.25">
      <c r="A6" s="638" t="s">
        <v>76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</row>
    <row r="7" spans="1:18" s="33" customFormat="1" ht="15.75" customHeight="1" x14ac:dyDescent="0.25">
      <c r="A7" s="638" t="str">
        <f>+'GRAF-ING Y EGR'!A45:G45</f>
        <v>DEL 01 DE ENERO AL  31  DE  DICIEMBRE  DE  2015</v>
      </c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</row>
    <row r="8" spans="1:18" s="33" customFormat="1" ht="15.75" customHeight="1" x14ac:dyDescent="0.25">
      <c r="A8" s="34"/>
      <c r="B8" s="35"/>
      <c r="C8" s="35"/>
      <c r="D8" s="35"/>
      <c r="E8" s="35"/>
      <c r="F8" s="40"/>
      <c r="G8" s="35"/>
      <c r="H8" s="35"/>
      <c r="I8" s="35"/>
      <c r="J8" s="35"/>
      <c r="K8" s="35"/>
      <c r="L8" s="35"/>
      <c r="M8" s="35"/>
    </row>
    <row r="9" spans="1:18" s="33" customFormat="1" ht="15.75" customHeight="1" x14ac:dyDescent="0.25">
      <c r="A9" s="34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</row>
    <row r="10" spans="1:18" s="152" customFormat="1" ht="12.75" customHeight="1" x14ac:dyDescent="0.2">
      <c r="A10" s="148"/>
      <c r="B10" s="645" t="s">
        <v>6</v>
      </c>
      <c r="C10" s="150"/>
      <c r="D10" s="348" t="s">
        <v>77</v>
      </c>
      <c r="E10" s="151"/>
      <c r="F10" s="646" t="s">
        <v>50</v>
      </c>
      <c r="G10" s="646"/>
      <c r="H10" s="646"/>
      <c r="I10" s="646"/>
      <c r="J10" s="646"/>
      <c r="K10" s="646"/>
      <c r="L10" s="156"/>
      <c r="M10" s="645" t="s">
        <v>78</v>
      </c>
    </row>
    <row r="11" spans="1:18" s="152" customFormat="1" ht="24" x14ac:dyDescent="0.2">
      <c r="A11" s="148"/>
      <c r="B11" s="645"/>
      <c r="C11" s="148"/>
      <c r="D11" s="349">
        <v>42004</v>
      </c>
      <c r="E11" s="153"/>
      <c r="F11" s="350" t="s">
        <v>624</v>
      </c>
      <c r="G11" s="350" t="s">
        <v>625</v>
      </c>
      <c r="H11" s="350" t="s">
        <v>626</v>
      </c>
      <c r="I11" s="350" t="s">
        <v>627</v>
      </c>
      <c r="J11" s="350" t="s">
        <v>628</v>
      </c>
      <c r="K11" s="350" t="s">
        <v>629</v>
      </c>
      <c r="L11" s="167"/>
      <c r="M11" s="645"/>
    </row>
    <row r="12" spans="1:18" s="29" customFormat="1" ht="15.75" customHeight="1" x14ac:dyDescent="0.2">
      <c r="D12" s="163"/>
      <c r="E12" s="163"/>
      <c r="F12" s="172"/>
      <c r="G12" s="172"/>
      <c r="H12" s="172"/>
      <c r="I12" s="172"/>
      <c r="J12" s="172"/>
      <c r="K12" s="172"/>
      <c r="L12" s="163"/>
      <c r="M12" s="172"/>
    </row>
    <row r="13" spans="1:18" s="29" customFormat="1" ht="15.75" customHeight="1" x14ac:dyDescent="0.25">
      <c r="B13" s="29" t="s">
        <v>150</v>
      </c>
      <c r="D13" s="168">
        <v>444159847</v>
      </c>
      <c r="E13" s="168"/>
      <c r="F13" s="168"/>
      <c r="G13" s="168"/>
      <c r="H13" s="168"/>
      <c r="I13" s="168"/>
      <c r="J13" s="168"/>
      <c r="K13" s="168"/>
      <c r="L13" s="169"/>
      <c r="M13" s="168">
        <f>+D13+(SUM(F13:K13))</f>
        <v>444159847</v>
      </c>
      <c r="O13" s="8"/>
      <c r="P13" s="380"/>
      <c r="Q13" s="380"/>
      <c r="R13" s="380"/>
    </row>
    <row r="14" spans="1:18" s="29" customFormat="1" ht="15.75" customHeight="1" x14ac:dyDescent="0.25">
      <c r="D14" s="157"/>
      <c r="E14" s="157"/>
      <c r="F14" s="157"/>
      <c r="G14" s="168"/>
      <c r="H14" s="168"/>
      <c r="I14" s="168"/>
      <c r="J14" s="168"/>
      <c r="K14" s="168"/>
      <c r="L14" s="169"/>
      <c r="M14" s="168"/>
      <c r="O14" s="8"/>
      <c r="P14" s="187"/>
      <c r="Q14" s="380"/>
      <c r="R14" s="380"/>
    </row>
    <row r="15" spans="1:18" s="29" customFormat="1" ht="15.75" customHeight="1" x14ac:dyDescent="0.25">
      <c r="B15" s="29" t="s">
        <v>144</v>
      </c>
      <c r="D15" s="168">
        <v>8005596</v>
      </c>
      <c r="E15" s="168"/>
      <c r="F15" s="168"/>
      <c r="G15" s="250"/>
      <c r="H15" s="168">
        <v>130152</v>
      </c>
      <c r="I15" s="168"/>
      <c r="J15" s="168"/>
      <c r="K15" s="259">
        <v>110469</v>
      </c>
      <c r="L15" s="169"/>
      <c r="M15" s="168">
        <f>+D15+(SUM(F15:K15))</f>
        <v>8246217</v>
      </c>
      <c r="O15" s="8"/>
      <c r="P15" s="187"/>
      <c r="Q15" s="380"/>
      <c r="R15" s="380"/>
    </row>
    <row r="16" spans="1:18" s="29" customFormat="1" ht="15.75" customHeight="1" x14ac:dyDescent="0.25">
      <c r="D16" s="157"/>
      <c r="E16" s="157"/>
      <c r="F16" s="157"/>
      <c r="G16" s="250"/>
      <c r="H16" s="172"/>
      <c r="I16" s="168"/>
      <c r="J16" s="168"/>
      <c r="K16" s="259"/>
      <c r="L16" s="169"/>
      <c r="M16" s="168"/>
      <c r="O16" s="8"/>
      <c r="P16" s="187"/>
      <c r="Q16" s="380"/>
      <c r="R16" s="380"/>
    </row>
    <row r="17" spans="2:21" s="29" customFormat="1" ht="15.75" customHeight="1" x14ac:dyDescent="0.25">
      <c r="B17" s="29" t="s">
        <v>145</v>
      </c>
      <c r="D17" s="168">
        <v>70803527.689999998</v>
      </c>
      <c r="E17" s="168"/>
      <c r="F17" s="168"/>
      <c r="G17" s="250"/>
      <c r="H17" s="168"/>
      <c r="I17" s="168">
        <v>5495</v>
      </c>
      <c r="J17" s="168">
        <v>8816</v>
      </c>
      <c r="K17" s="259">
        <v>607357</v>
      </c>
      <c r="L17" s="169"/>
      <c r="M17" s="168">
        <f>+D17+(SUM(F17:K17))</f>
        <v>71425195.689999998</v>
      </c>
      <c r="O17" s="8"/>
      <c r="P17" s="187"/>
      <c r="Q17" s="380"/>
      <c r="R17" s="380"/>
    </row>
    <row r="18" spans="2:21" s="29" customFormat="1" ht="15.75" customHeight="1" x14ac:dyDescent="0.25">
      <c r="D18" s="157"/>
      <c r="E18" s="157"/>
      <c r="F18" s="157"/>
      <c r="G18" s="250"/>
      <c r="H18" s="168"/>
      <c r="I18" s="168"/>
      <c r="J18" s="168"/>
      <c r="K18" s="259"/>
      <c r="L18" s="169"/>
      <c r="M18" s="168"/>
      <c r="O18" s="8"/>
      <c r="P18" s="187"/>
      <c r="Q18" s="380"/>
      <c r="R18" s="380"/>
    </row>
    <row r="19" spans="2:21" s="29" customFormat="1" ht="15.75" customHeight="1" x14ac:dyDescent="0.25">
      <c r="B19" s="29" t="s">
        <v>146</v>
      </c>
      <c r="D19" s="168">
        <v>15324580</v>
      </c>
      <c r="E19" s="168"/>
      <c r="F19" s="168"/>
      <c r="G19" s="250"/>
      <c r="H19" s="168"/>
      <c r="I19" s="168"/>
      <c r="J19" s="168"/>
      <c r="K19" s="259">
        <v>243800</v>
      </c>
      <c r="L19" s="169"/>
      <c r="M19" s="168">
        <f>+D19+(SUM(F19:K19))</f>
        <v>15568380</v>
      </c>
      <c r="O19" s="8"/>
      <c r="P19" s="187"/>
      <c r="Q19" s="380"/>
      <c r="R19" s="380"/>
    </row>
    <row r="20" spans="2:21" s="29" customFormat="1" ht="15.75" customHeight="1" x14ac:dyDescent="0.25">
      <c r="D20" s="157"/>
      <c r="E20" s="157"/>
      <c r="F20" s="157"/>
      <c r="G20" s="250"/>
      <c r="H20" s="168"/>
      <c r="I20" s="168"/>
      <c r="J20" s="168"/>
      <c r="K20" s="259"/>
      <c r="L20" s="169"/>
      <c r="M20" s="168"/>
      <c r="O20" s="8"/>
      <c r="P20" s="187"/>
      <c r="Q20" s="380"/>
      <c r="R20" s="380"/>
    </row>
    <row r="21" spans="2:21" s="29" customFormat="1" ht="15.75" customHeight="1" x14ac:dyDescent="0.25">
      <c r="B21" s="29" t="s">
        <v>147</v>
      </c>
      <c r="D21" s="168">
        <v>2983680</v>
      </c>
      <c r="E21" s="168"/>
      <c r="F21" s="168"/>
      <c r="G21" s="250"/>
      <c r="H21" s="168"/>
      <c r="I21" s="168"/>
      <c r="J21" s="168"/>
      <c r="K21" s="259">
        <v>141671</v>
      </c>
      <c r="L21" s="169"/>
      <c r="M21" s="168">
        <f>+D21+(SUM(F21:K21))</f>
        <v>3125351</v>
      </c>
      <c r="O21" s="8"/>
      <c r="P21" s="187"/>
      <c r="Q21" s="381"/>
      <c r="R21" s="380"/>
    </row>
    <row r="22" spans="2:21" s="29" customFormat="1" ht="15.75" customHeight="1" x14ac:dyDescent="0.25">
      <c r="D22" s="157"/>
      <c r="E22" s="157"/>
      <c r="F22" s="157"/>
      <c r="G22" s="250"/>
      <c r="H22" s="168"/>
      <c r="I22" s="168"/>
      <c r="J22" s="168"/>
      <c r="K22" s="259"/>
      <c r="L22" s="169"/>
      <c r="M22" s="168"/>
      <c r="O22" s="8"/>
      <c r="P22" s="187"/>
      <c r="Q22" s="381"/>
      <c r="R22" s="380"/>
    </row>
    <row r="23" spans="2:21" s="29" customFormat="1" ht="15.75" customHeight="1" x14ac:dyDescent="0.25">
      <c r="B23" s="29" t="s">
        <v>148</v>
      </c>
      <c r="D23" s="168">
        <v>35391658</v>
      </c>
      <c r="E23" s="168"/>
      <c r="F23" s="168"/>
      <c r="G23" s="250"/>
      <c r="H23" s="168"/>
      <c r="I23" s="168"/>
      <c r="J23" s="168">
        <v>499097</v>
      </c>
      <c r="K23" s="259"/>
      <c r="L23" s="169"/>
      <c r="M23" s="168">
        <f>+D23+(SUM(F23:K23))</f>
        <v>35890755</v>
      </c>
      <c r="O23" s="8"/>
      <c r="P23" s="187"/>
      <c r="Q23" s="381"/>
      <c r="R23" s="380"/>
    </row>
    <row r="24" spans="2:21" s="29" customFormat="1" ht="15.75" customHeight="1" x14ac:dyDescent="0.25">
      <c r="D24" s="157"/>
      <c r="E24" s="157"/>
      <c r="F24" s="157"/>
      <c r="G24" s="250"/>
      <c r="H24" s="168"/>
      <c r="I24" s="168"/>
      <c r="J24" s="168"/>
      <c r="K24" s="259"/>
      <c r="L24" s="169"/>
      <c r="M24" s="168"/>
      <c r="P24" s="187"/>
      <c r="Q24" s="381"/>
      <c r="R24" s="380"/>
    </row>
    <row r="25" spans="2:21" s="29" customFormat="1" ht="15.75" customHeight="1" x14ac:dyDescent="0.25">
      <c r="B25" s="29" t="s">
        <v>149</v>
      </c>
      <c r="D25" s="168">
        <v>366352</v>
      </c>
      <c r="E25" s="168"/>
      <c r="F25" s="168"/>
      <c r="G25" s="250"/>
      <c r="H25" s="168"/>
      <c r="I25" s="168"/>
      <c r="J25" s="168">
        <v>3755</v>
      </c>
      <c r="K25" s="259">
        <v>3082</v>
      </c>
      <c r="L25" s="169"/>
      <c r="M25" s="168">
        <f>+D25+(SUM(F25:K25))</f>
        <v>373189</v>
      </c>
      <c r="O25" s="8"/>
      <c r="P25" s="187"/>
      <c r="Q25" s="381"/>
      <c r="R25" s="380"/>
    </row>
    <row r="26" spans="2:21" s="29" customFormat="1" ht="15.75" customHeight="1" x14ac:dyDescent="0.25">
      <c r="D26" s="168"/>
      <c r="E26" s="168"/>
      <c r="F26" s="168"/>
      <c r="G26" s="168"/>
      <c r="H26" s="168"/>
      <c r="I26" s="168"/>
      <c r="J26" s="168"/>
      <c r="K26" s="168"/>
      <c r="L26" s="169"/>
      <c r="M26" s="168"/>
      <c r="O26" s="8"/>
      <c r="P26" s="381"/>
      <c r="Q26" s="381"/>
      <c r="R26" s="380"/>
    </row>
    <row r="27" spans="2:21" s="29" customFormat="1" ht="15.75" customHeight="1" x14ac:dyDescent="0.25">
      <c r="B27" s="29" t="s">
        <v>80</v>
      </c>
      <c r="D27" s="168">
        <f>-375835306-162367419</f>
        <v>-538202725</v>
      </c>
      <c r="E27" s="168"/>
      <c r="F27" s="168"/>
      <c r="G27" s="168"/>
      <c r="H27" s="168"/>
      <c r="I27" s="168"/>
      <c r="J27" s="168">
        <v>261233310</v>
      </c>
      <c r="K27" s="168">
        <v>-22815176</v>
      </c>
      <c r="L27" s="169"/>
      <c r="M27" s="168">
        <f>+D27+(SUM(F27:K27))</f>
        <v>-299784591</v>
      </c>
      <c r="O27" s="8"/>
      <c r="P27" s="381"/>
      <c r="Q27" s="381"/>
      <c r="R27" s="380"/>
      <c r="T27" s="172"/>
    </row>
    <row r="28" spans="2:21" s="29" customFormat="1" ht="15.75" customHeight="1" x14ac:dyDescent="0.25">
      <c r="D28" s="157"/>
      <c r="E28" s="157"/>
      <c r="F28" s="157"/>
      <c r="G28" s="168"/>
      <c r="H28" s="168"/>
      <c r="I28" s="168"/>
      <c r="J28" s="168"/>
      <c r="K28" s="168"/>
      <c r="L28" s="169"/>
      <c r="M28" s="168"/>
      <c r="O28" s="8"/>
      <c r="P28" s="381"/>
      <c r="Q28" s="381"/>
      <c r="R28" s="380"/>
    </row>
    <row r="29" spans="2:21" s="29" customFormat="1" ht="15.75" customHeight="1" x14ac:dyDescent="0.25">
      <c r="B29" s="29" t="s">
        <v>79</v>
      </c>
      <c r="D29" s="168"/>
      <c r="E29" s="168"/>
      <c r="F29" s="169">
        <v>57069787</v>
      </c>
      <c r="G29" s="168">
        <v>73304064</v>
      </c>
      <c r="H29" s="168">
        <v>62703509</v>
      </c>
      <c r="I29" s="168">
        <v>19539803</v>
      </c>
      <c r="J29" s="168">
        <v>81585657</v>
      </c>
      <c r="K29" s="168">
        <v>-15768734</v>
      </c>
      <c r="L29" s="169"/>
      <c r="M29" s="168">
        <f>+D29+(SUM(F29:K29))</f>
        <v>278434086</v>
      </c>
      <c r="O29" s="8"/>
      <c r="P29" s="381"/>
      <c r="Q29" s="381"/>
      <c r="R29" s="380"/>
      <c r="T29" s="172"/>
      <c r="U29" s="172"/>
    </row>
    <row r="30" spans="2:21" s="29" customFormat="1" ht="15.75" customHeight="1" x14ac:dyDescent="0.2">
      <c r="D30" s="168"/>
      <c r="E30" s="168"/>
      <c r="F30" s="168"/>
      <c r="G30" s="168"/>
      <c r="H30" s="168"/>
      <c r="I30" s="168"/>
      <c r="J30" s="168"/>
      <c r="K30" s="168"/>
      <c r="L30" s="169"/>
      <c r="M30" s="168"/>
      <c r="O30" s="8"/>
      <c r="P30" s="381"/>
      <c r="Q30" s="381"/>
    </row>
    <row r="31" spans="2:21" s="29" customFormat="1" ht="15.75" customHeight="1" x14ac:dyDescent="0.2">
      <c r="D31" s="172"/>
      <c r="E31" s="172"/>
      <c r="F31" s="172"/>
      <c r="G31" s="172"/>
      <c r="H31" s="172"/>
      <c r="I31" s="172"/>
      <c r="J31" s="172"/>
      <c r="K31" s="172"/>
      <c r="L31" s="163"/>
      <c r="M31" s="172"/>
      <c r="O31" s="8"/>
      <c r="P31" s="381"/>
      <c r="Q31" s="381"/>
    </row>
    <row r="32" spans="2:21" s="29" customFormat="1" ht="15.75" customHeight="1" x14ac:dyDescent="0.2">
      <c r="D32" s="172"/>
      <c r="E32" s="172"/>
      <c r="F32" s="172"/>
      <c r="G32" s="172"/>
      <c r="H32" s="172"/>
      <c r="I32" s="172"/>
      <c r="J32" s="172"/>
      <c r="K32" s="172"/>
      <c r="L32" s="163"/>
      <c r="M32" s="172"/>
      <c r="O32" s="8"/>
      <c r="P32" s="381"/>
      <c r="Q32" s="19"/>
    </row>
    <row r="33" spans="4:16" s="29" customFormat="1" ht="15.75" customHeight="1" x14ac:dyDescent="0.25">
      <c r="D33" s="172"/>
      <c r="E33" s="172"/>
      <c r="F33" s="172"/>
      <c r="G33" s="172"/>
      <c r="H33" s="172"/>
      <c r="I33" s="187"/>
      <c r="J33" s="172"/>
      <c r="K33" s="172"/>
      <c r="L33" s="163"/>
      <c r="M33" s="172"/>
      <c r="O33" s="8"/>
      <c r="P33" s="172"/>
    </row>
    <row r="34" spans="4:16" s="29" customFormat="1" ht="15.75" customHeight="1" x14ac:dyDescent="0.25">
      <c r="D34" s="172"/>
      <c r="E34" s="172"/>
      <c r="F34" s="172"/>
      <c r="G34" s="172"/>
      <c r="H34" s="172"/>
      <c r="I34" s="172"/>
      <c r="J34" s="172"/>
      <c r="K34" s="187"/>
      <c r="L34" s="163"/>
      <c r="M34" s="172"/>
      <c r="O34" s="8"/>
      <c r="P34" s="172"/>
    </row>
    <row r="35" spans="4:16" s="29" customFormat="1" ht="15.75" customHeight="1" x14ac:dyDescent="0.25">
      <c r="D35" s="187"/>
      <c r="E35" s="172"/>
      <c r="F35" s="172"/>
      <c r="G35" s="172"/>
      <c r="H35" s="172"/>
      <c r="I35" s="172"/>
      <c r="J35" s="172"/>
      <c r="K35" s="172"/>
      <c r="L35" s="163"/>
      <c r="M35" s="172"/>
      <c r="O35" s="8"/>
      <c r="P35" s="487"/>
    </row>
    <row r="36" spans="4:16" s="29" customFormat="1" ht="15.75" customHeight="1" x14ac:dyDescent="0.2">
      <c r="D36" s="172"/>
      <c r="E36" s="172"/>
      <c r="F36" s="172"/>
      <c r="G36" s="172"/>
      <c r="H36" s="172"/>
      <c r="I36" s="172"/>
      <c r="J36" s="172"/>
      <c r="K36" s="172"/>
      <c r="L36" s="163"/>
      <c r="M36" s="172"/>
      <c r="O36" s="8"/>
    </row>
    <row r="37" spans="4:16" s="29" customFormat="1" ht="15.75" customHeight="1" x14ac:dyDescent="0.2">
      <c r="D37" s="172"/>
      <c r="E37" s="172"/>
      <c r="F37" s="172"/>
      <c r="G37" s="172"/>
      <c r="H37" s="172"/>
      <c r="I37" s="172"/>
      <c r="J37" s="172"/>
      <c r="K37" s="172"/>
      <c r="L37" s="163"/>
      <c r="M37" s="172"/>
      <c r="O37" s="8"/>
    </row>
    <row r="38" spans="4:16" s="29" customFormat="1" ht="15.75" customHeight="1" x14ac:dyDescent="0.25">
      <c r="D38" s="172"/>
      <c r="E38" s="172"/>
      <c r="F38" s="172"/>
      <c r="G38" s="172"/>
      <c r="H38" s="172"/>
      <c r="I38" s="172"/>
      <c r="K38" s="366"/>
      <c r="L38" s="163"/>
      <c r="M38" s="172"/>
      <c r="O38" s="8"/>
    </row>
    <row r="39" spans="4:16" s="29" customFormat="1" ht="15.75" customHeight="1" x14ac:dyDescent="0.2">
      <c r="G39" s="172"/>
      <c r="H39" s="172"/>
      <c r="I39" s="172"/>
      <c r="J39" s="172"/>
      <c r="K39" s="172"/>
      <c r="L39" s="163"/>
      <c r="M39" s="172"/>
      <c r="O39" s="8"/>
    </row>
    <row r="40" spans="4:16" s="29" customFormat="1" ht="15.75" customHeight="1" x14ac:dyDescent="0.2">
      <c r="D40" s="172"/>
      <c r="E40" s="163"/>
      <c r="F40" s="163"/>
      <c r="G40" s="172"/>
      <c r="H40" s="172"/>
      <c r="I40" s="172"/>
      <c r="J40" s="172"/>
      <c r="K40" s="172"/>
      <c r="L40" s="163"/>
      <c r="M40" s="172"/>
      <c r="O40" s="8"/>
    </row>
    <row r="41" spans="4:16" s="29" customFormat="1" ht="15.75" customHeight="1" x14ac:dyDescent="0.2">
      <c r="G41" s="172"/>
      <c r="H41" s="172"/>
      <c r="I41" s="172"/>
      <c r="J41" s="172"/>
      <c r="K41" s="172"/>
      <c r="L41" s="163"/>
      <c r="M41" s="172"/>
      <c r="O41" s="8"/>
    </row>
    <row r="42" spans="4:16" s="29" customFormat="1" ht="15.75" customHeight="1" x14ac:dyDescent="0.2">
      <c r="D42" s="172"/>
      <c r="E42" s="163"/>
      <c r="F42" s="163"/>
      <c r="G42" s="172"/>
      <c r="H42" s="172"/>
      <c r="I42" s="172"/>
      <c r="J42" s="172"/>
      <c r="K42" s="172"/>
      <c r="L42" s="163"/>
      <c r="M42" s="172"/>
      <c r="O42" s="8"/>
    </row>
    <row r="43" spans="4:16" s="29" customFormat="1" ht="15.75" customHeight="1" x14ac:dyDescent="0.2">
      <c r="G43" s="172"/>
      <c r="H43" s="172"/>
      <c r="I43" s="172"/>
      <c r="J43" s="172"/>
      <c r="K43" s="172"/>
      <c r="L43" s="163"/>
      <c r="M43" s="172"/>
      <c r="O43" s="8"/>
    </row>
    <row r="44" spans="4:16" s="29" customFormat="1" ht="15.75" customHeight="1" x14ac:dyDescent="0.2">
      <c r="D44" s="172"/>
      <c r="E44" s="163"/>
      <c r="F44" s="163"/>
      <c r="G44" s="172"/>
      <c r="H44" s="172"/>
      <c r="I44" s="172"/>
      <c r="J44" s="172"/>
      <c r="K44" s="172"/>
      <c r="L44" s="163"/>
      <c r="M44" s="172"/>
      <c r="O44" s="8"/>
    </row>
    <row r="45" spans="4:16" s="29" customFormat="1" ht="15.75" customHeight="1" x14ac:dyDescent="0.2">
      <c r="G45" s="172"/>
      <c r="H45" s="172"/>
      <c r="I45" s="172"/>
      <c r="J45" s="172"/>
      <c r="K45" s="172"/>
      <c r="L45" s="163"/>
      <c r="M45" s="172"/>
      <c r="O45" s="8"/>
    </row>
    <row r="46" spans="4:16" s="29" customFormat="1" ht="15.75" customHeight="1" x14ac:dyDescent="0.2">
      <c r="D46" s="172"/>
      <c r="E46" s="163"/>
      <c r="F46" s="163"/>
      <c r="G46" s="172"/>
      <c r="H46" s="172"/>
      <c r="I46" s="172"/>
      <c r="J46" s="172"/>
      <c r="K46" s="172"/>
      <c r="L46" s="163"/>
      <c r="M46" s="172"/>
      <c r="O46" s="8"/>
    </row>
    <row r="47" spans="4:16" s="29" customFormat="1" ht="15.75" customHeight="1" x14ac:dyDescent="0.2">
      <c r="G47" s="172"/>
      <c r="H47" s="172"/>
      <c r="I47" s="172"/>
      <c r="J47" s="172"/>
      <c r="K47" s="172"/>
      <c r="L47" s="163"/>
      <c r="M47" s="172"/>
      <c r="O47" s="8"/>
    </row>
    <row r="48" spans="4:16" s="29" customFormat="1" ht="15.75" customHeight="1" x14ac:dyDescent="0.2">
      <c r="D48" s="172"/>
      <c r="E48" s="163"/>
      <c r="F48" s="163"/>
      <c r="G48" s="172"/>
      <c r="H48" s="172"/>
      <c r="I48" s="172"/>
      <c r="J48" s="172"/>
      <c r="K48" s="172"/>
      <c r="L48" s="163"/>
      <c r="M48" s="172"/>
      <c r="O48" s="8"/>
    </row>
    <row r="49" spans="1:15" s="29" customFormat="1" ht="15.75" customHeight="1" x14ac:dyDescent="0.2">
      <c r="G49" s="172"/>
      <c r="H49" s="172"/>
      <c r="I49" s="172"/>
      <c r="J49" s="172"/>
      <c r="K49" s="172"/>
      <c r="L49" s="163"/>
      <c r="M49" s="172"/>
      <c r="O49" s="8"/>
    </row>
    <row r="50" spans="1:15" s="29" customFormat="1" ht="15.75" customHeight="1" x14ac:dyDescent="0.2">
      <c r="D50" s="172"/>
      <c r="E50" s="163"/>
      <c r="F50" s="172"/>
      <c r="G50" s="172"/>
      <c r="H50" s="172"/>
      <c r="I50" s="172"/>
      <c r="J50" s="172"/>
      <c r="K50" s="172"/>
      <c r="L50" s="163"/>
      <c r="M50" s="172"/>
    </row>
    <row r="51" spans="1:15" s="29" customFormat="1" ht="15.75" customHeight="1" x14ac:dyDescent="0.2">
      <c r="D51" s="172"/>
      <c r="E51" s="163"/>
      <c r="F51" s="172"/>
      <c r="G51" s="172"/>
      <c r="H51" s="172"/>
      <c r="I51" s="172"/>
      <c r="J51" s="172"/>
      <c r="K51" s="172"/>
      <c r="L51" s="163"/>
      <c r="M51" s="172"/>
    </row>
    <row r="52" spans="1:15" s="29" customFormat="1" ht="15.75" hidden="1" customHeight="1" x14ac:dyDescent="0.2">
      <c r="D52" s="172"/>
      <c r="E52" s="163"/>
      <c r="F52" s="172"/>
      <c r="G52" s="172"/>
      <c r="H52" s="172"/>
      <c r="I52" s="172"/>
      <c r="J52" s="172"/>
      <c r="K52" s="172"/>
      <c r="L52" s="163"/>
      <c r="M52" s="172"/>
    </row>
    <row r="53" spans="1:15" s="19" customFormat="1" ht="18.75" customHeight="1" x14ac:dyDescent="0.25">
      <c r="A53" s="21"/>
      <c r="B53" s="347" t="s">
        <v>82</v>
      </c>
      <c r="C53" s="21"/>
      <c r="D53" s="347">
        <f>SUM(D13:D52)</f>
        <v>38832515.690000057</v>
      </c>
      <c r="E53" s="161"/>
      <c r="F53" s="347">
        <f t="shared" ref="F53:K53" si="0">SUM(F13:F52)</f>
        <v>57069787</v>
      </c>
      <c r="G53" s="347">
        <f t="shared" si="0"/>
        <v>73304064</v>
      </c>
      <c r="H53" s="347">
        <f t="shared" si="0"/>
        <v>62833661</v>
      </c>
      <c r="I53" s="347">
        <f>SUM(I13:I52)</f>
        <v>19545298</v>
      </c>
      <c r="J53" s="347">
        <f t="shared" si="0"/>
        <v>343330635</v>
      </c>
      <c r="K53" s="347">
        <f t="shared" si="0"/>
        <v>-37477531</v>
      </c>
      <c r="L53" s="161"/>
      <c r="M53" s="347">
        <f>SUM(M13:M52)</f>
        <v>557438429.69000006</v>
      </c>
    </row>
    <row r="54" spans="1:15" ht="15.75" customHeight="1" x14ac:dyDescent="0.2">
      <c r="M54" s="177">
        <f>+'BZA DE COMP'!H29+'BZA DE COMP'!H69-'BZA DE COMP'!H81+'BZA DE COMP'!H55</f>
        <v>557438430</v>
      </c>
    </row>
    <row r="55" spans="1:15" ht="15.75" customHeight="1" x14ac:dyDescent="0.2">
      <c r="M55" s="165">
        <f>+M53-M54</f>
        <v>-0.30999994277954102</v>
      </c>
    </row>
  </sheetData>
  <mergeCells count="8">
    <mergeCell ref="A2:N2"/>
    <mergeCell ref="A3:N3"/>
    <mergeCell ref="A4:F4"/>
    <mergeCell ref="A6:N6"/>
    <mergeCell ref="B10:B11"/>
    <mergeCell ref="F10:K10"/>
    <mergeCell ref="M10:M11"/>
    <mergeCell ref="A7:N7"/>
  </mergeCells>
  <phoneticPr fontId="10" type="noConversion"/>
  <printOptions horizontalCentered="1" verticalCentered="1"/>
  <pageMargins left="0.39370078740157483" right="0.39370078740157483" top="0.59055118110236227" bottom="0.59055118110236227" header="0" footer="0"/>
  <pageSetup scale="62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7"/>
  <sheetViews>
    <sheetView view="pageBreakPreview" topLeftCell="A37" zoomScale="70" zoomScaleSheetLayoutView="70" workbookViewId="0">
      <selection activeCell="O17" sqref="O17"/>
    </sheetView>
  </sheetViews>
  <sheetFormatPr baseColWidth="10" defaultRowHeight="15.75" customHeight="1" x14ac:dyDescent="0.2"/>
  <cols>
    <col min="1" max="1" width="2.85546875" style="19" customWidth="1"/>
    <col min="2" max="2" width="7.85546875" style="220" customWidth="1"/>
    <col min="3" max="3" width="2.85546875" style="19" customWidth="1"/>
    <col min="4" max="4" width="42.85546875" style="19" customWidth="1"/>
    <col min="5" max="5" width="22.42578125" style="19" customWidth="1"/>
    <col min="6" max="6" width="2.85546875" style="19" customWidth="1"/>
    <col min="7" max="18" width="14.28515625" style="19" customWidth="1"/>
    <col min="19" max="19" width="2.85546875" style="24" customWidth="1"/>
    <col min="20" max="20" width="14.28515625" style="19" customWidth="1"/>
    <col min="21" max="21" width="2.85546875" style="19" customWidth="1"/>
    <col min="22" max="16384" width="11.42578125" style="19"/>
  </cols>
  <sheetData>
    <row r="1" spans="1:22" s="24" customFormat="1" ht="9" customHeight="1" x14ac:dyDescent="0.2">
      <c r="B1" s="532"/>
    </row>
    <row r="2" spans="1:22" s="24" customFormat="1" ht="29.25" customHeight="1" x14ac:dyDescent="0.2">
      <c r="A2" s="634" t="s">
        <v>7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</row>
    <row r="3" spans="1:22" s="24" customFormat="1" ht="29.25" customHeight="1" x14ac:dyDescent="0.2">
      <c r="A3" s="634" t="s">
        <v>106</v>
      </c>
      <c r="B3" s="634"/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4"/>
      <c r="U3" s="634"/>
    </row>
    <row r="4" spans="1:22" s="24" customFormat="1" ht="9" customHeight="1" x14ac:dyDescent="0.2">
      <c r="A4" s="647"/>
      <c r="B4" s="647"/>
      <c r="C4" s="647"/>
      <c r="D4" s="647"/>
      <c r="E4" s="647"/>
      <c r="F4" s="647"/>
      <c r="G4" s="647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</row>
    <row r="5" spans="1:22" s="24" customFormat="1" ht="15.75" customHeight="1" x14ac:dyDescent="0.2">
      <c r="B5" s="532"/>
    </row>
    <row r="6" spans="1:22" s="24" customFormat="1" ht="15.75" customHeight="1" x14ac:dyDescent="0.25">
      <c r="A6" s="638" t="s">
        <v>926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  <c r="R6" s="638"/>
      <c r="S6" s="638"/>
      <c r="T6" s="638"/>
      <c r="U6" s="638"/>
    </row>
    <row r="7" spans="1:22" s="24" customFormat="1" ht="15.75" customHeight="1" x14ac:dyDescent="0.25">
      <c r="A7" s="638" t="s">
        <v>976</v>
      </c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8"/>
      <c r="T7" s="638"/>
      <c r="U7" s="638"/>
    </row>
    <row r="8" spans="1:22" s="24" customFormat="1" ht="15.75" customHeight="1" x14ac:dyDescent="0.25">
      <c r="A8" s="175"/>
      <c r="B8" s="529"/>
      <c r="C8" s="175"/>
      <c r="D8" s="38"/>
      <c r="E8" s="38"/>
      <c r="F8" s="38"/>
      <c r="G8" s="249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</row>
    <row r="9" spans="1:22" s="24" customFormat="1" ht="15.75" customHeight="1" x14ac:dyDescent="0.25">
      <c r="A9" s="175"/>
      <c r="B9" s="529"/>
      <c r="C9" s="175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</row>
    <row r="10" spans="1:22" s="11" customFormat="1" ht="12.75" customHeight="1" x14ac:dyDescent="0.2">
      <c r="A10" s="533"/>
      <c r="B10" s="645" t="s">
        <v>927</v>
      </c>
      <c r="C10" s="533"/>
      <c r="D10" s="645" t="s">
        <v>6</v>
      </c>
      <c r="E10" s="645" t="s">
        <v>5</v>
      </c>
      <c r="F10" s="534"/>
      <c r="G10" s="646" t="s">
        <v>50</v>
      </c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646"/>
      <c r="S10" s="156"/>
      <c r="T10" s="646" t="s">
        <v>78</v>
      </c>
    </row>
    <row r="11" spans="1:22" s="11" customFormat="1" ht="12" x14ac:dyDescent="0.2">
      <c r="A11" s="533"/>
      <c r="B11" s="645"/>
      <c r="C11" s="533"/>
      <c r="D11" s="645"/>
      <c r="E11" s="645"/>
      <c r="F11" s="533"/>
      <c r="G11" s="530" t="s">
        <v>928</v>
      </c>
      <c r="H11" s="531" t="s">
        <v>929</v>
      </c>
      <c r="I11" s="530" t="s">
        <v>930</v>
      </c>
      <c r="J11" s="531" t="s">
        <v>931</v>
      </c>
      <c r="K11" s="530" t="s">
        <v>932</v>
      </c>
      <c r="L11" s="531" t="s">
        <v>933</v>
      </c>
      <c r="M11" s="530" t="s">
        <v>934</v>
      </c>
      <c r="N11" s="531" t="s">
        <v>935</v>
      </c>
      <c r="O11" s="530" t="s">
        <v>936</v>
      </c>
      <c r="P11" s="531" t="s">
        <v>937</v>
      </c>
      <c r="Q11" s="530" t="s">
        <v>938</v>
      </c>
      <c r="R11" s="531" t="s">
        <v>939</v>
      </c>
      <c r="S11" s="167"/>
      <c r="T11" s="646"/>
    </row>
    <row r="12" spans="1:22" s="157" customFormat="1" ht="15.75" customHeight="1" x14ac:dyDescent="0.2">
      <c r="B12" s="535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9"/>
      <c r="T12" s="168"/>
    </row>
    <row r="13" spans="1:22" s="157" customFormat="1" ht="15.75" customHeight="1" x14ac:dyDescent="0.2">
      <c r="B13" s="535"/>
      <c r="D13" s="157" t="s">
        <v>940</v>
      </c>
      <c r="E13" s="557">
        <v>-538202725</v>
      </c>
      <c r="F13" s="557"/>
      <c r="G13" s="557"/>
      <c r="H13" s="557"/>
      <c r="I13" s="557"/>
      <c r="J13" s="557"/>
      <c r="K13" s="557"/>
      <c r="L13" s="557"/>
      <c r="M13" s="557"/>
      <c r="N13" s="557"/>
      <c r="O13" s="557"/>
      <c r="P13" s="557">
        <v>261233310</v>
      </c>
      <c r="Q13" s="557"/>
      <c r="R13" s="557">
        <v>-22815176</v>
      </c>
      <c r="S13" s="558"/>
      <c r="T13" s="558">
        <f>+E13+G13+H13+I13+J13+K13+L13+M13+N13+O13+P13+Q13+R13</f>
        <v>-299784591</v>
      </c>
      <c r="V13" s="168"/>
    </row>
    <row r="14" spans="1:22" s="157" customFormat="1" ht="15.75" customHeight="1" x14ac:dyDescent="0.2">
      <c r="B14" s="535"/>
      <c r="E14" s="557"/>
      <c r="F14" s="557"/>
      <c r="G14" s="557"/>
      <c r="H14" s="557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558"/>
      <c r="T14" s="557">
        <f>+SUM(G14:R14)</f>
        <v>0</v>
      </c>
    </row>
    <row r="15" spans="1:22" s="157" customFormat="1" ht="15.75" customHeight="1" x14ac:dyDescent="0.2">
      <c r="B15" s="535"/>
      <c r="E15" s="557"/>
      <c r="F15" s="557"/>
      <c r="G15" s="557"/>
      <c r="H15" s="557"/>
      <c r="I15" s="557"/>
      <c r="J15" s="557"/>
      <c r="K15" s="557"/>
      <c r="L15" s="557"/>
      <c r="M15" s="557"/>
      <c r="N15" s="557"/>
      <c r="O15" s="557"/>
      <c r="P15" s="557"/>
      <c r="Q15" s="557"/>
      <c r="R15" s="557"/>
      <c r="S15" s="558"/>
      <c r="T15" s="557">
        <f>+SUM(G15:R15)</f>
        <v>0</v>
      </c>
    </row>
    <row r="16" spans="1:22" s="157" customFormat="1" ht="15.75" customHeight="1" x14ac:dyDescent="0.2">
      <c r="B16" s="535"/>
      <c r="E16" s="557"/>
      <c r="F16" s="557"/>
      <c r="G16" s="557"/>
      <c r="H16" s="557"/>
      <c r="I16" s="557"/>
      <c r="J16" s="557"/>
      <c r="K16" s="557"/>
      <c r="L16" s="557"/>
      <c r="M16" s="557"/>
      <c r="N16" s="557"/>
      <c r="O16" s="557"/>
      <c r="P16" s="557"/>
      <c r="Q16" s="557"/>
      <c r="R16" s="557"/>
      <c r="S16" s="558"/>
      <c r="T16" s="557">
        <f>+SUM(G16:R16)</f>
        <v>0</v>
      </c>
    </row>
    <row r="17" spans="2:20" s="157" customFormat="1" ht="15.75" customHeight="1" x14ac:dyDescent="0.2">
      <c r="B17" s="535"/>
      <c r="E17" s="557"/>
      <c r="F17" s="557"/>
      <c r="G17" s="557"/>
      <c r="H17" s="557"/>
      <c r="I17" s="557"/>
      <c r="J17" s="557"/>
      <c r="K17" s="557"/>
      <c r="L17" s="557"/>
      <c r="M17" s="557"/>
      <c r="N17" s="557"/>
      <c r="O17" s="557"/>
      <c r="P17" s="557"/>
      <c r="Q17" s="557"/>
      <c r="R17" s="557"/>
      <c r="S17" s="558"/>
      <c r="T17" s="557">
        <f>+SUM(G17:R17)</f>
        <v>0</v>
      </c>
    </row>
    <row r="18" spans="2:20" s="157" customFormat="1" ht="15.75" customHeight="1" x14ac:dyDescent="0.2">
      <c r="B18" s="535"/>
      <c r="E18" s="557"/>
      <c r="F18" s="557"/>
      <c r="G18" s="557"/>
      <c r="H18" s="557"/>
      <c r="I18" s="557"/>
      <c r="J18" s="557"/>
      <c r="K18" s="557"/>
      <c r="L18" s="557"/>
      <c r="M18" s="557"/>
      <c r="N18" s="557"/>
      <c r="O18" s="557"/>
      <c r="P18" s="557"/>
      <c r="Q18" s="557"/>
      <c r="R18" s="557"/>
      <c r="S18" s="558"/>
      <c r="T18" s="557">
        <f>+SUM(G18:R18)</f>
        <v>0</v>
      </c>
    </row>
    <row r="19" spans="2:20" s="157" customFormat="1" ht="15.75" customHeight="1" x14ac:dyDescent="0.2">
      <c r="B19" s="535"/>
      <c r="E19" s="557"/>
      <c r="F19" s="557"/>
      <c r="G19" s="557"/>
      <c r="H19" s="557"/>
      <c r="I19" s="557"/>
      <c r="J19" s="557"/>
      <c r="K19" s="557"/>
      <c r="L19" s="557"/>
      <c r="M19" s="557"/>
      <c r="N19" s="557"/>
      <c r="O19" s="557"/>
      <c r="P19" s="557"/>
      <c r="Q19" s="557"/>
      <c r="R19" s="557"/>
      <c r="S19" s="558"/>
      <c r="T19" s="557"/>
    </row>
    <row r="20" spans="2:20" s="157" customFormat="1" ht="15.75" customHeight="1" x14ac:dyDescent="0.2">
      <c r="B20" s="535"/>
      <c r="E20" s="557"/>
      <c r="F20" s="557"/>
      <c r="G20" s="557"/>
      <c r="H20" s="557"/>
      <c r="I20" s="557"/>
      <c r="J20" s="557"/>
      <c r="K20" s="557"/>
      <c r="L20" s="557"/>
      <c r="M20" s="557"/>
      <c r="N20" s="557"/>
      <c r="O20" s="557"/>
      <c r="P20" s="557"/>
      <c r="Q20" s="557"/>
      <c r="R20" s="557"/>
      <c r="S20" s="558"/>
      <c r="T20" s="557"/>
    </row>
    <row r="21" spans="2:20" s="157" customFormat="1" ht="15.75" customHeight="1" x14ac:dyDescent="0.2">
      <c r="B21" s="535"/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557"/>
      <c r="Q21" s="557"/>
      <c r="R21" s="557"/>
      <c r="S21" s="558"/>
      <c r="T21" s="557"/>
    </row>
    <row r="22" spans="2:20" s="157" customFormat="1" ht="15.75" customHeight="1" x14ac:dyDescent="0.2">
      <c r="B22" s="535"/>
      <c r="E22" s="557"/>
      <c r="F22" s="557"/>
      <c r="G22" s="557"/>
      <c r="H22" s="557"/>
      <c r="I22" s="557"/>
      <c r="J22" s="557"/>
      <c r="K22" s="557"/>
      <c r="L22" s="557"/>
      <c r="M22" s="557"/>
      <c r="N22" s="557"/>
      <c r="O22" s="557"/>
      <c r="P22" s="557"/>
      <c r="Q22" s="557"/>
      <c r="R22" s="557"/>
      <c r="S22" s="558"/>
      <c r="T22" s="557"/>
    </row>
    <row r="23" spans="2:20" s="157" customFormat="1" ht="15.75" customHeight="1" x14ac:dyDescent="0.2">
      <c r="B23" s="535"/>
      <c r="E23" s="557"/>
      <c r="F23" s="557"/>
      <c r="G23" s="557"/>
      <c r="H23" s="557"/>
      <c r="I23" s="557"/>
      <c r="J23" s="557"/>
      <c r="K23" s="557"/>
      <c r="L23" s="557"/>
      <c r="M23" s="557"/>
      <c r="N23" s="557"/>
      <c r="O23" s="557"/>
      <c r="P23" s="557"/>
      <c r="Q23" s="557"/>
      <c r="R23" s="557"/>
      <c r="S23" s="558"/>
      <c r="T23" s="557"/>
    </row>
    <row r="24" spans="2:20" s="157" customFormat="1" ht="15.75" customHeight="1" x14ac:dyDescent="0.2">
      <c r="B24" s="535"/>
      <c r="E24" s="557"/>
      <c r="F24" s="557"/>
      <c r="G24" s="557"/>
      <c r="H24" s="559"/>
      <c r="I24" s="557"/>
      <c r="J24" s="557"/>
      <c r="K24" s="557"/>
      <c r="L24" s="557"/>
      <c r="M24" s="557"/>
      <c r="N24" s="557"/>
      <c r="O24" s="557"/>
      <c r="P24" s="557"/>
      <c r="Q24" s="557"/>
      <c r="R24" s="557"/>
      <c r="S24" s="558"/>
      <c r="T24" s="557"/>
    </row>
    <row r="25" spans="2:20" s="157" customFormat="1" ht="15.75" customHeight="1" x14ac:dyDescent="0.2">
      <c r="B25" s="535"/>
      <c r="E25" s="557"/>
      <c r="F25" s="557"/>
      <c r="G25" s="557"/>
      <c r="H25" s="559"/>
      <c r="I25" s="557"/>
      <c r="J25" s="557"/>
      <c r="K25" s="557"/>
      <c r="L25" s="557"/>
      <c r="M25" s="557"/>
      <c r="N25" s="557"/>
      <c r="O25" s="557"/>
      <c r="P25" s="557"/>
      <c r="Q25" s="557"/>
      <c r="R25" s="557"/>
      <c r="S25" s="558"/>
      <c r="T25" s="557"/>
    </row>
    <row r="26" spans="2:20" s="157" customFormat="1" ht="15.75" customHeight="1" x14ac:dyDescent="0.2">
      <c r="B26" s="535"/>
      <c r="E26" s="557"/>
      <c r="F26" s="557"/>
      <c r="G26" s="557"/>
      <c r="H26" s="559"/>
      <c r="I26" s="557"/>
      <c r="J26" s="557"/>
      <c r="K26" s="557"/>
      <c r="L26" s="557"/>
      <c r="M26" s="557"/>
      <c r="N26" s="557"/>
      <c r="O26" s="557"/>
      <c r="P26" s="557"/>
      <c r="Q26" s="557"/>
      <c r="R26" s="557"/>
      <c r="S26" s="558"/>
      <c r="T26" s="557"/>
    </row>
    <row r="27" spans="2:20" s="157" customFormat="1" ht="15.75" customHeight="1" x14ac:dyDescent="0.2">
      <c r="B27" s="535"/>
      <c r="E27" s="557"/>
      <c r="F27" s="557"/>
      <c r="G27" s="557"/>
      <c r="H27" s="559"/>
      <c r="I27" s="557"/>
      <c r="J27" s="557"/>
      <c r="K27" s="557"/>
      <c r="L27" s="557"/>
      <c r="M27" s="557"/>
      <c r="N27" s="557"/>
      <c r="O27" s="557"/>
      <c r="P27" s="557"/>
      <c r="Q27" s="557"/>
      <c r="R27" s="557"/>
      <c r="S27" s="558"/>
      <c r="T27" s="557"/>
    </row>
    <row r="28" spans="2:20" s="157" customFormat="1" ht="15.75" customHeight="1" x14ac:dyDescent="0.2">
      <c r="B28" s="535"/>
      <c r="E28" s="557"/>
      <c r="F28" s="557"/>
      <c r="G28" s="557"/>
      <c r="H28" s="559"/>
      <c r="I28" s="557"/>
      <c r="J28" s="557"/>
      <c r="K28" s="557"/>
      <c r="L28" s="557"/>
      <c r="M28" s="557"/>
      <c r="N28" s="557"/>
      <c r="O28" s="557"/>
      <c r="P28" s="557"/>
      <c r="Q28" s="557"/>
      <c r="R28" s="557"/>
      <c r="S28" s="558"/>
      <c r="T28" s="557"/>
    </row>
    <row r="29" spans="2:20" s="157" customFormat="1" ht="15.75" customHeight="1" x14ac:dyDescent="0.2">
      <c r="B29" s="535"/>
      <c r="E29" s="557"/>
      <c r="F29" s="557"/>
      <c r="G29" s="557"/>
      <c r="H29" s="559"/>
      <c r="I29" s="557"/>
      <c r="J29" s="557"/>
      <c r="K29" s="557"/>
      <c r="L29" s="557"/>
      <c r="M29" s="557"/>
      <c r="N29" s="557"/>
      <c r="O29" s="557"/>
      <c r="P29" s="557"/>
      <c r="Q29" s="557"/>
      <c r="R29" s="557"/>
      <c r="S29" s="558"/>
      <c r="T29" s="557"/>
    </row>
    <row r="30" spans="2:20" s="157" customFormat="1" ht="15.75" customHeight="1" x14ac:dyDescent="0.2">
      <c r="B30" s="535"/>
      <c r="E30" s="557"/>
      <c r="F30" s="557"/>
      <c r="G30" s="557"/>
      <c r="H30" s="559"/>
      <c r="I30" s="557"/>
      <c r="J30" s="557"/>
      <c r="K30" s="557"/>
      <c r="L30" s="557"/>
      <c r="M30" s="557"/>
      <c r="N30" s="557"/>
      <c r="O30" s="557"/>
      <c r="P30" s="557"/>
      <c r="Q30" s="557"/>
      <c r="R30" s="557"/>
      <c r="S30" s="558"/>
      <c r="T30" s="557"/>
    </row>
    <row r="31" spans="2:20" s="157" customFormat="1" ht="15.75" customHeight="1" x14ac:dyDescent="0.2">
      <c r="B31" s="535"/>
      <c r="E31" s="557"/>
      <c r="F31" s="557"/>
      <c r="G31" s="557"/>
      <c r="H31" s="559"/>
      <c r="I31" s="557"/>
      <c r="J31" s="557"/>
      <c r="K31" s="557"/>
      <c r="L31" s="557"/>
      <c r="M31" s="557"/>
      <c r="N31" s="557"/>
      <c r="O31" s="557"/>
      <c r="P31" s="557"/>
      <c r="Q31" s="557"/>
      <c r="R31" s="557"/>
      <c r="S31" s="558"/>
      <c r="T31" s="557"/>
    </row>
    <row r="32" spans="2:20" s="157" customFormat="1" ht="15.75" customHeight="1" x14ac:dyDescent="0.2">
      <c r="B32" s="535"/>
      <c r="E32" s="557"/>
      <c r="F32" s="557"/>
      <c r="G32" s="557"/>
      <c r="H32" s="557"/>
      <c r="I32" s="557"/>
      <c r="J32" s="557"/>
      <c r="K32" s="557"/>
      <c r="L32" s="557"/>
      <c r="M32" s="557"/>
      <c r="N32" s="557"/>
      <c r="O32" s="557"/>
      <c r="P32" s="557"/>
      <c r="Q32" s="557"/>
      <c r="R32" s="557"/>
      <c r="S32" s="558"/>
      <c r="T32" s="557"/>
    </row>
    <row r="33" spans="2:20" s="157" customFormat="1" ht="15.75" customHeight="1" x14ac:dyDescent="0.2">
      <c r="B33" s="535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  <c r="Q33" s="557"/>
      <c r="R33" s="557"/>
      <c r="S33" s="558"/>
      <c r="T33" s="557"/>
    </row>
    <row r="34" spans="2:20" s="157" customFormat="1" ht="15.75" customHeight="1" x14ac:dyDescent="0.2">
      <c r="B34" s="535"/>
      <c r="E34" s="557"/>
      <c r="F34" s="557"/>
      <c r="G34" s="557"/>
      <c r="H34" s="557"/>
      <c r="I34" s="557"/>
      <c r="J34" s="557"/>
      <c r="K34" s="557"/>
      <c r="L34" s="557"/>
      <c r="M34" s="557"/>
      <c r="N34" s="557"/>
      <c r="O34" s="557"/>
      <c r="P34" s="557"/>
      <c r="Q34" s="557"/>
      <c r="R34" s="557"/>
      <c r="S34" s="558"/>
      <c r="T34" s="557"/>
    </row>
    <row r="35" spans="2:20" s="157" customFormat="1" ht="15.75" customHeight="1" x14ac:dyDescent="0.2">
      <c r="B35" s="535"/>
      <c r="E35" s="557"/>
      <c r="F35" s="557"/>
      <c r="G35" s="557"/>
      <c r="H35" s="557"/>
      <c r="I35" s="557"/>
      <c r="J35" s="557"/>
      <c r="K35" s="557"/>
      <c r="L35" s="557"/>
      <c r="M35" s="557"/>
      <c r="N35" s="557"/>
      <c r="O35" s="557"/>
      <c r="P35" s="557"/>
      <c r="Q35" s="557"/>
      <c r="R35" s="557"/>
      <c r="S35" s="558"/>
      <c r="T35" s="557"/>
    </row>
    <row r="36" spans="2:20" s="157" customFormat="1" ht="15.75" customHeight="1" x14ac:dyDescent="0.2">
      <c r="B36" s="535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9"/>
      <c r="T36" s="168"/>
    </row>
    <row r="37" spans="2:20" s="157" customFormat="1" ht="15.75" customHeight="1" x14ac:dyDescent="0.2">
      <c r="B37" s="535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9"/>
      <c r="T37" s="168"/>
    </row>
    <row r="38" spans="2:20" s="157" customFormat="1" ht="15.75" customHeight="1" x14ac:dyDescent="0.2">
      <c r="B38" s="535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9"/>
      <c r="T38" s="168"/>
    </row>
    <row r="39" spans="2:20" s="157" customFormat="1" ht="15.75" customHeight="1" x14ac:dyDescent="0.2">
      <c r="B39" s="535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9"/>
      <c r="T39" s="168"/>
    </row>
    <row r="40" spans="2:20" s="157" customFormat="1" ht="15.75" customHeight="1" x14ac:dyDescent="0.2">
      <c r="B40" s="535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9"/>
      <c r="T40" s="168"/>
    </row>
    <row r="41" spans="2:20" s="157" customFormat="1" ht="15.75" customHeight="1" x14ac:dyDescent="0.2">
      <c r="B41" s="535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9"/>
      <c r="T41" s="168"/>
    </row>
    <row r="42" spans="2:20" s="157" customFormat="1" ht="15.75" customHeight="1" x14ac:dyDescent="0.2">
      <c r="B42" s="535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9"/>
      <c r="T42" s="168"/>
    </row>
    <row r="43" spans="2:20" s="157" customFormat="1" ht="15.75" customHeight="1" x14ac:dyDescent="0.2">
      <c r="B43" s="535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9"/>
      <c r="T43" s="168"/>
    </row>
    <row r="44" spans="2:20" s="157" customFormat="1" ht="15.75" customHeight="1" x14ac:dyDescent="0.2">
      <c r="B44" s="535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9"/>
      <c r="T44" s="168"/>
    </row>
    <row r="45" spans="2:20" s="157" customFormat="1" ht="15.75" customHeight="1" x14ac:dyDescent="0.2">
      <c r="B45" s="535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9"/>
      <c r="T45" s="168"/>
    </row>
    <row r="46" spans="2:20" s="157" customFormat="1" ht="15.75" customHeight="1" x14ac:dyDescent="0.2">
      <c r="B46" s="535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9"/>
      <c r="T46" s="168"/>
    </row>
    <row r="47" spans="2:20" s="157" customFormat="1" ht="15.75" customHeight="1" x14ac:dyDescent="0.2">
      <c r="B47" s="535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9"/>
      <c r="T47" s="168"/>
    </row>
    <row r="48" spans="2:20" s="157" customFormat="1" ht="15.75" customHeight="1" x14ac:dyDescent="0.2">
      <c r="B48" s="535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9"/>
      <c r="T48" s="168"/>
    </row>
    <row r="49" spans="1:20" s="157" customFormat="1" ht="15.75" customHeight="1" x14ac:dyDescent="0.2">
      <c r="B49" s="535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9"/>
      <c r="T49" s="168"/>
    </row>
    <row r="50" spans="1:20" s="157" customFormat="1" ht="15.75" customHeight="1" x14ac:dyDescent="0.2">
      <c r="B50" s="535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9"/>
      <c r="T50" s="168"/>
    </row>
    <row r="51" spans="1:20" s="157" customFormat="1" ht="15.75" customHeight="1" x14ac:dyDescent="0.2">
      <c r="B51" s="535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9"/>
      <c r="T51" s="168"/>
    </row>
    <row r="52" spans="1:20" s="157" customFormat="1" ht="15.75" customHeight="1" x14ac:dyDescent="0.2">
      <c r="B52" s="535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9"/>
      <c r="T52" s="168"/>
    </row>
    <row r="53" spans="1:20" s="157" customFormat="1" ht="15.75" customHeight="1" x14ac:dyDescent="0.2">
      <c r="B53" s="535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9"/>
      <c r="T53" s="168"/>
    </row>
    <row r="54" spans="1:20" s="157" customFormat="1" ht="15.75" customHeight="1" x14ac:dyDescent="0.2">
      <c r="B54" s="535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9"/>
      <c r="T54" s="168"/>
    </row>
    <row r="55" spans="1:20" s="157" customFormat="1" ht="15.75" customHeight="1" x14ac:dyDescent="0.2">
      <c r="B55" s="535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9"/>
      <c r="T55" s="168"/>
    </row>
    <row r="56" spans="1:20" s="157" customFormat="1" ht="15.75" customHeight="1" x14ac:dyDescent="0.2">
      <c r="B56" s="535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9"/>
      <c r="T56" s="168"/>
    </row>
    <row r="57" spans="1:20" s="157" customFormat="1" ht="15.75" customHeight="1" x14ac:dyDescent="0.2">
      <c r="B57" s="535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9"/>
      <c r="T57" s="168"/>
    </row>
    <row r="58" spans="1:20" s="157" customFormat="1" ht="15.75" customHeight="1" x14ac:dyDescent="0.2">
      <c r="B58" s="535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9"/>
      <c r="T58" s="168"/>
    </row>
    <row r="59" spans="1:20" s="157" customFormat="1" ht="15.75" customHeight="1" x14ac:dyDescent="0.2">
      <c r="B59" s="535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9"/>
      <c r="T59" s="168"/>
    </row>
    <row r="60" spans="1:20" s="157" customFormat="1" ht="15.75" customHeight="1" x14ac:dyDescent="0.2">
      <c r="B60" s="535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9"/>
      <c r="T60" s="168"/>
    </row>
    <row r="61" spans="1:20" s="157" customFormat="1" ht="15.75" customHeight="1" x14ac:dyDescent="0.2">
      <c r="B61" s="535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9"/>
      <c r="T61" s="168"/>
    </row>
    <row r="62" spans="1:20" s="157" customFormat="1" ht="15.75" customHeight="1" x14ac:dyDescent="0.2">
      <c r="B62" s="535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9"/>
      <c r="T62" s="168"/>
    </row>
    <row r="63" spans="1:20" s="157" customFormat="1" ht="15.75" customHeight="1" x14ac:dyDescent="0.2">
      <c r="B63" s="535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9"/>
      <c r="T63" s="168"/>
    </row>
    <row r="64" spans="1:20" ht="18.75" customHeight="1" x14ac:dyDescent="0.25">
      <c r="A64" s="21"/>
      <c r="B64" s="536"/>
      <c r="C64" s="21"/>
      <c r="D64" s="528" t="s">
        <v>82</v>
      </c>
      <c r="E64" s="549"/>
      <c r="F64" s="21"/>
      <c r="G64" s="528">
        <f>SUM(G13:G63)</f>
        <v>0</v>
      </c>
      <c r="H64" s="528">
        <f>SUM(H13:H63)</f>
        <v>0</v>
      </c>
      <c r="I64" s="528">
        <f>SUM(I13:I63)</f>
        <v>0</v>
      </c>
      <c r="J64" s="528">
        <f>SUM(J13:J63)</f>
        <v>0</v>
      </c>
      <c r="K64" s="528">
        <f t="shared" ref="K64:R64" si="0">SUM(K13:K63)</f>
        <v>0</v>
      </c>
      <c r="L64" s="528">
        <f t="shared" si="0"/>
        <v>0</v>
      </c>
      <c r="M64" s="528">
        <f t="shared" si="0"/>
        <v>0</v>
      </c>
      <c r="N64" s="528">
        <f t="shared" si="0"/>
        <v>0</v>
      </c>
      <c r="O64" s="528">
        <f t="shared" si="0"/>
        <v>0</v>
      </c>
      <c r="P64" s="528">
        <f t="shared" si="0"/>
        <v>261233310</v>
      </c>
      <c r="Q64" s="528">
        <f t="shared" si="0"/>
        <v>0</v>
      </c>
      <c r="R64" s="528">
        <f t="shared" si="0"/>
        <v>-22815176</v>
      </c>
      <c r="S64" s="291"/>
      <c r="T64" s="528">
        <f>+T13-SUM(T14:T63)</f>
        <v>-299784591</v>
      </c>
    </row>
    <row r="65" spans="20:20" ht="15.75" customHeight="1" x14ac:dyDescent="0.2">
      <c r="T65" s="164"/>
    </row>
    <row r="66" spans="20:20" ht="15.75" customHeight="1" x14ac:dyDescent="0.2">
      <c r="T66" s="176">
        <f>+'[2]BZA DE COMP'!$H$54</f>
        <v>0</v>
      </c>
    </row>
    <row r="67" spans="20:20" ht="15.75" customHeight="1" x14ac:dyDescent="0.2">
      <c r="T67" s="164"/>
    </row>
  </sheetData>
  <mergeCells count="10">
    <mergeCell ref="B10:B11"/>
    <mergeCell ref="D10:D11"/>
    <mergeCell ref="G10:R10"/>
    <mergeCell ref="T10:T11"/>
    <mergeCell ref="A2:U2"/>
    <mergeCell ref="A3:U3"/>
    <mergeCell ref="A4:G4"/>
    <mergeCell ref="A6:U6"/>
    <mergeCell ref="A7:U7"/>
    <mergeCell ref="E10:E11"/>
  </mergeCells>
  <printOptions horizontalCentered="1" verticalCentered="1"/>
  <pageMargins left="0.59055118110236227" right="0.59055118110236227" top="0.59055118110236227" bottom="0.59055118110236227" header="0" footer="0"/>
  <pageSetup scale="46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93"/>
  <sheetViews>
    <sheetView view="pageBreakPreview" topLeftCell="A10" zoomScale="60" zoomScaleNormal="65" workbookViewId="0">
      <selection activeCell="D22" sqref="D22"/>
    </sheetView>
  </sheetViews>
  <sheetFormatPr baseColWidth="10" defaultRowHeight="15.75" customHeight="1" x14ac:dyDescent="0.2"/>
  <cols>
    <col min="1" max="1" width="8.5703125" style="32" customWidth="1"/>
    <col min="2" max="2" width="4.7109375" style="32" customWidth="1"/>
    <col min="3" max="5" width="15.5703125" style="32" customWidth="1"/>
    <col min="6" max="6" width="42.85546875" style="32" customWidth="1"/>
    <col min="7" max="11" width="21.42578125" style="32" customWidth="1"/>
    <col min="12" max="12" width="8.5703125" style="32" customWidth="1"/>
    <col min="13" max="13" width="11.42578125" style="32"/>
    <col min="14" max="14" width="17.5703125" style="32" customWidth="1"/>
    <col min="15" max="15" width="11.42578125" style="32"/>
    <col min="16" max="16" width="21.140625" style="32" bestFit="1" customWidth="1"/>
    <col min="17" max="16384" width="11.42578125" style="32"/>
  </cols>
  <sheetData>
    <row r="1" spans="1:14" ht="21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14" ht="38.25" customHeight="1" x14ac:dyDescent="0.2">
      <c r="A2" s="619" t="s">
        <v>7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33"/>
    </row>
    <row r="3" spans="1:14" ht="38.25" customHeight="1" x14ac:dyDescent="0.2">
      <c r="A3" s="620" t="s">
        <v>106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33"/>
    </row>
    <row r="4" spans="1:14" ht="23.25" customHeight="1" x14ac:dyDescent="0.25">
      <c r="A4" s="622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39"/>
      <c r="M4" s="33"/>
    </row>
    <row r="5" spans="1:14" ht="23.25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</row>
    <row r="6" spans="1:14" ht="23.25" customHeight="1" x14ac:dyDescent="0.25">
      <c r="A6" s="34"/>
      <c r="B6" s="38" t="s">
        <v>641</v>
      </c>
      <c r="C6" s="35"/>
      <c r="D6" s="35"/>
      <c r="E6" s="35"/>
      <c r="F6" s="35"/>
      <c r="G6" s="35"/>
      <c r="H6" s="40"/>
      <c r="I6" s="40"/>
      <c r="J6" s="40"/>
      <c r="K6" s="43"/>
      <c r="L6" s="34"/>
      <c r="M6" s="33"/>
    </row>
    <row r="7" spans="1:14" ht="23.25" customHeight="1" x14ac:dyDescent="0.25">
      <c r="A7" s="34"/>
      <c r="B7" s="38" t="s">
        <v>966</v>
      </c>
      <c r="C7" s="35"/>
      <c r="D7" s="35"/>
      <c r="E7" s="35"/>
      <c r="F7" s="35"/>
      <c r="G7" s="35"/>
      <c r="H7" s="40"/>
      <c r="I7" s="40"/>
      <c r="J7" s="40"/>
      <c r="K7" s="43"/>
      <c r="L7" s="34"/>
      <c r="M7" s="33"/>
    </row>
    <row r="8" spans="1:14" ht="23.25" customHeight="1" x14ac:dyDescent="0.25">
      <c r="A8" s="34"/>
      <c r="B8" s="38" t="s">
        <v>8</v>
      </c>
      <c r="C8" s="35"/>
      <c r="D8" s="35"/>
      <c r="E8" s="35"/>
      <c r="F8" s="35"/>
      <c r="G8" s="35"/>
      <c r="H8" s="40"/>
      <c r="I8" s="40"/>
      <c r="J8" s="40"/>
      <c r="K8" s="43"/>
      <c r="L8" s="34"/>
      <c r="M8" s="33"/>
    </row>
    <row r="9" spans="1:14" ht="23.25" customHeight="1" x14ac:dyDescent="0.25">
      <c r="A9" s="34"/>
      <c r="B9" s="35"/>
      <c r="C9" s="35"/>
      <c r="D9" s="35"/>
      <c r="E9" s="35"/>
      <c r="F9" s="35"/>
      <c r="G9" s="35"/>
      <c r="H9" s="40"/>
      <c r="I9" s="40"/>
      <c r="J9" s="40"/>
      <c r="K9" s="43"/>
      <c r="L9" s="34"/>
      <c r="M9" s="33"/>
    </row>
    <row r="10" spans="1:14" s="41" customFormat="1" ht="28.5" customHeight="1" x14ac:dyDescent="0.2">
      <c r="A10" s="116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116"/>
      <c r="M10" s="115"/>
    </row>
    <row r="11" spans="1:14" s="41" customFormat="1" ht="28.5" customHeight="1" x14ac:dyDescent="0.2">
      <c r="A11" s="44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4"/>
    </row>
    <row r="12" spans="1:14" s="48" customFormat="1" ht="28.5" customHeight="1" x14ac:dyDescent="0.2">
      <c r="A12" s="46"/>
      <c r="B12" s="337" t="s">
        <v>39</v>
      </c>
      <c r="C12" s="337"/>
      <c r="D12" s="337"/>
      <c r="E12" s="336"/>
      <c r="F12" s="336"/>
      <c r="G12" s="47"/>
      <c r="H12" s="47"/>
      <c r="I12" s="47"/>
      <c r="J12" s="47"/>
      <c r="K12" s="46"/>
      <c r="L12" s="46"/>
    </row>
    <row r="13" spans="1:14" s="48" customFormat="1" ht="28.5" customHeight="1" x14ac:dyDescent="0.2">
      <c r="A13" s="113"/>
      <c r="B13" s="127"/>
      <c r="C13" s="127"/>
      <c r="D13" s="127"/>
      <c r="E13" s="127"/>
      <c r="F13" s="127"/>
      <c r="G13" s="128"/>
      <c r="H13" s="128"/>
      <c r="I13" s="129"/>
      <c r="J13" s="129"/>
      <c r="K13" s="130"/>
      <c r="L13" s="131"/>
    </row>
    <row r="14" spans="1:14" s="48" customFormat="1" ht="28.5" customHeight="1" x14ac:dyDescent="0.2">
      <c r="A14" s="113"/>
      <c r="B14" s="132" t="s">
        <v>38</v>
      </c>
      <c r="C14" s="132"/>
      <c r="D14" s="132"/>
      <c r="E14" s="132"/>
      <c r="F14" s="132"/>
      <c r="G14" s="133"/>
      <c r="H14" s="133"/>
      <c r="I14" s="134"/>
      <c r="J14" s="135">
        <f>SUM(I16)</f>
        <v>183047603</v>
      </c>
      <c r="K14" s="134"/>
      <c r="L14" s="131"/>
    </row>
    <row r="15" spans="1:14" s="48" customFormat="1" ht="28.5" customHeight="1" x14ac:dyDescent="0.2">
      <c r="A15" s="113"/>
      <c r="B15" s="136"/>
      <c r="C15" s="136"/>
      <c r="D15" s="136"/>
      <c r="E15" s="136"/>
      <c r="F15" s="136"/>
      <c r="G15" s="133"/>
      <c r="H15" s="133"/>
      <c r="I15" s="137"/>
      <c r="J15" s="137"/>
      <c r="K15" s="137"/>
      <c r="L15" s="131"/>
    </row>
    <row r="16" spans="1:14" s="52" customFormat="1" ht="28.5" customHeight="1" x14ac:dyDescent="0.2">
      <c r="A16" s="113"/>
      <c r="B16" s="133"/>
      <c r="C16" s="133"/>
      <c r="D16" s="131" t="s">
        <v>2</v>
      </c>
      <c r="E16" s="131"/>
      <c r="F16" s="131"/>
      <c r="G16" s="133"/>
      <c r="H16" s="133"/>
      <c r="I16" s="355">
        <f>+'BZA DE COMP'!G62</f>
        <v>183047603</v>
      </c>
      <c r="J16" s="134"/>
      <c r="K16" s="134"/>
      <c r="L16" s="131"/>
      <c r="N16" s="53"/>
    </row>
    <row r="17" spans="1:14" s="52" customFormat="1" ht="28.5" customHeight="1" x14ac:dyDescent="0.2">
      <c r="A17" s="113"/>
      <c r="B17" s="133"/>
      <c r="C17" s="133"/>
      <c r="D17" s="131"/>
      <c r="E17" s="131"/>
      <c r="F17" s="131"/>
      <c r="G17" s="133"/>
      <c r="H17" s="133"/>
      <c r="I17" s="138"/>
      <c r="J17" s="134"/>
      <c r="K17" s="134"/>
      <c r="L17" s="131"/>
    </row>
    <row r="18" spans="1:14" s="48" customFormat="1" ht="28.5" customHeight="1" x14ac:dyDescent="0.2">
      <c r="A18" s="113"/>
      <c r="B18" s="132" t="s">
        <v>37</v>
      </c>
      <c r="C18" s="132"/>
      <c r="D18" s="132"/>
      <c r="E18" s="132"/>
      <c r="F18" s="132"/>
      <c r="G18" s="131"/>
      <c r="H18" s="131"/>
      <c r="I18" s="134"/>
      <c r="J18" s="135">
        <f>SUM(I20:I21)</f>
        <v>2824149680</v>
      </c>
      <c r="K18" s="134"/>
      <c r="L18" s="131"/>
    </row>
    <row r="19" spans="1:14" s="48" customFormat="1" ht="28.5" customHeight="1" x14ac:dyDescent="0.2">
      <c r="A19" s="113"/>
      <c r="B19" s="132"/>
      <c r="C19" s="132"/>
      <c r="D19" s="132"/>
      <c r="E19" s="132"/>
      <c r="F19" s="132"/>
      <c r="G19" s="131"/>
      <c r="H19" s="131"/>
      <c r="I19" s="134"/>
      <c r="J19" s="134"/>
      <c r="K19" s="134"/>
      <c r="L19" s="131"/>
    </row>
    <row r="20" spans="1:14" s="48" customFormat="1" ht="28.5" customHeight="1" x14ac:dyDescent="0.2">
      <c r="A20" s="113"/>
      <c r="B20" s="132"/>
      <c r="C20" s="132"/>
      <c r="D20" s="131" t="s">
        <v>36</v>
      </c>
      <c r="E20" s="132"/>
      <c r="F20" s="132"/>
      <c r="G20" s="131"/>
      <c r="H20" s="131"/>
      <c r="I20" s="138">
        <f>+'BZA DE COMP'!G63</f>
        <v>2241111</v>
      </c>
      <c r="J20" s="134"/>
      <c r="K20" s="134"/>
      <c r="L20" s="131"/>
    </row>
    <row r="21" spans="1:14" s="48" customFormat="1" ht="28.5" customHeight="1" x14ac:dyDescent="0.2">
      <c r="A21" s="113"/>
      <c r="B21" s="132"/>
      <c r="C21" s="132"/>
      <c r="D21" s="131" t="s">
        <v>3</v>
      </c>
      <c r="E21" s="132"/>
      <c r="F21" s="132"/>
      <c r="G21" s="252"/>
      <c r="H21" s="131"/>
      <c r="I21" s="355">
        <f>+'BZA DE COMP'!G64</f>
        <v>2821908569</v>
      </c>
      <c r="J21" s="134"/>
      <c r="K21" s="134"/>
      <c r="L21" s="131"/>
    </row>
    <row r="22" spans="1:14" s="48" customFormat="1" ht="28.5" customHeight="1" x14ac:dyDescent="0.25">
      <c r="A22" s="113"/>
      <c r="B22" s="132"/>
      <c r="C22" s="132"/>
      <c r="D22" s="132"/>
      <c r="E22" s="132"/>
      <c r="F22" s="132"/>
      <c r="G22" s="131"/>
      <c r="H22" s="131"/>
      <c r="I22" s="139"/>
      <c r="J22" s="134"/>
      <c r="K22" s="134"/>
      <c r="L22" s="131"/>
      <c r="N22" s="55"/>
    </row>
    <row r="23" spans="1:14" s="48" customFormat="1" ht="28.5" customHeight="1" x14ac:dyDescent="0.2">
      <c r="A23" s="113"/>
      <c r="B23" s="132" t="s">
        <v>35</v>
      </c>
      <c r="C23" s="132"/>
      <c r="D23" s="132"/>
      <c r="E23" s="132"/>
      <c r="F23" s="132"/>
      <c r="G23" s="131"/>
      <c r="H23" s="131"/>
      <c r="I23" s="134"/>
      <c r="J23" s="135">
        <f>SUM(I25:I30)</f>
        <v>7347889</v>
      </c>
      <c r="K23" s="135"/>
      <c r="L23" s="131"/>
    </row>
    <row r="24" spans="1:14" s="48" customFormat="1" ht="28.5" customHeight="1" x14ac:dyDescent="0.2">
      <c r="A24" s="113"/>
      <c r="B24" s="132"/>
      <c r="C24" s="132"/>
      <c r="D24" s="132"/>
      <c r="E24" s="132"/>
      <c r="F24" s="132"/>
      <c r="G24" s="131"/>
      <c r="H24" s="131"/>
      <c r="I24" s="134"/>
      <c r="J24" s="134"/>
      <c r="K24" s="134"/>
      <c r="L24" s="131"/>
    </row>
    <row r="25" spans="1:14" s="52" customFormat="1" ht="28.5" customHeight="1" x14ac:dyDescent="0.2">
      <c r="A25" s="113"/>
      <c r="B25" s="133"/>
      <c r="C25" s="133"/>
      <c r="D25" s="131" t="s">
        <v>9</v>
      </c>
      <c r="E25" s="131"/>
      <c r="F25" s="131"/>
      <c r="G25" s="131"/>
      <c r="H25" s="131"/>
      <c r="I25" s="138">
        <f>+'BZA DE COMP'!G65</f>
        <v>0</v>
      </c>
      <c r="J25" s="134" t="s">
        <v>4</v>
      </c>
      <c r="K25" s="134"/>
      <c r="L25" s="131"/>
    </row>
    <row r="26" spans="1:14" s="52" customFormat="1" ht="28.5" customHeight="1" x14ac:dyDescent="0.2">
      <c r="A26" s="113"/>
      <c r="B26" s="133"/>
      <c r="C26" s="133"/>
      <c r="D26" s="131" t="s">
        <v>10</v>
      </c>
      <c r="E26" s="131"/>
      <c r="F26" s="131"/>
      <c r="G26" s="131"/>
      <c r="H26" s="252"/>
      <c r="I26" s="138">
        <f>+'BZA DE COMP'!G66</f>
        <v>127022</v>
      </c>
      <c r="J26" s="134"/>
      <c r="K26" s="134"/>
      <c r="L26" s="131"/>
    </row>
    <row r="27" spans="1:14" s="52" customFormat="1" ht="28.5" customHeight="1" x14ac:dyDescent="0.2">
      <c r="A27" s="113"/>
      <c r="B27" s="133"/>
      <c r="C27" s="133"/>
      <c r="D27" s="133" t="s">
        <v>638</v>
      </c>
      <c r="E27" s="133"/>
      <c r="F27" s="133"/>
      <c r="G27" s="133"/>
      <c r="H27" s="252">
        <f>+'EDO ORG Y APL'!D27</f>
        <v>0</v>
      </c>
      <c r="J27" s="135"/>
      <c r="K27" s="134"/>
      <c r="L27" s="131"/>
      <c r="N27" s="53" t="s">
        <v>4</v>
      </c>
    </row>
    <row r="28" spans="1:14" s="48" customFormat="1" ht="28.5" customHeight="1" x14ac:dyDescent="0.2">
      <c r="A28" s="113"/>
      <c r="D28" s="133" t="s">
        <v>639</v>
      </c>
      <c r="E28" s="133"/>
      <c r="F28" s="133"/>
      <c r="G28" s="133"/>
      <c r="H28" s="252">
        <f>+'EDO ORG Y APL'!D28</f>
        <v>0</v>
      </c>
      <c r="K28" s="55"/>
      <c r="L28" s="131"/>
    </row>
    <row r="29" spans="1:14" s="48" customFormat="1" ht="28.5" customHeight="1" x14ac:dyDescent="0.2">
      <c r="A29" s="113"/>
      <c r="D29" s="133" t="s">
        <v>640</v>
      </c>
      <c r="E29" s="133"/>
      <c r="F29" s="133"/>
      <c r="G29" s="133"/>
      <c r="H29" s="355">
        <f>+'EDO ORG Y APL'!D29</f>
        <v>0</v>
      </c>
      <c r="I29" s="55"/>
      <c r="L29" s="46"/>
    </row>
    <row r="30" spans="1:14" s="48" customFormat="1" ht="28.5" customHeight="1" x14ac:dyDescent="0.2">
      <c r="A30" s="46"/>
      <c r="B30" s="132"/>
      <c r="C30" s="132"/>
      <c r="D30" s="131" t="s">
        <v>11</v>
      </c>
      <c r="E30" s="131"/>
      <c r="F30" s="131"/>
      <c r="G30" s="131"/>
      <c r="H30" s="252"/>
      <c r="I30" s="355">
        <f>+'BZA DE COMP'!G67</f>
        <v>7220867</v>
      </c>
      <c r="J30" s="134"/>
      <c r="K30" s="134"/>
      <c r="L30" s="46"/>
      <c r="N30" s="55" t="s">
        <v>4</v>
      </c>
    </row>
    <row r="31" spans="1:14" s="48" customFormat="1" ht="28.5" customHeight="1" x14ac:dyDescent="0.2">
      <c r="A31" s="46"/>
      <c r="B31" s="114"/>
      <c r="C31" s="114"/>
      <c r="D31" s="114"/>
      <c r="E31" s="114"/>
      <c r="F31" s="114"/>
      <c r="G31" s="109"/>
      <c r="H31" s="109"/>
      <c r="I31" s="109"/>
      <c r="J31" s="109"/>
      <c r="K31" s="109"/>
      <c r="L31" s="131"/>
    </row>
    <row r="32" spans="1:14" s="48" customFormat="1" ht="28.5" customHeight="1" x14ac:dyDescent="0.2">
      <c r="A32" s="46"/>
      <c r="B32" s="338" t="s">
        <v>12</v>
      </c>
      <c r="C32" s="339"/>
      <c r="D32" s="339"/>
      <c r="E32" s="339"/>
      <c r="F32" s="339"/>
      <c r="G32" s="51"/>
      <c r="H32" s="51" t="s">
        <v>4</v>
      </c>
      <c r="I32" s="51" t="s">
        <v>4</v>
      </c>
      <c r="J32" s="50"/>
      <c r="K32" s="340">
        <f>+J14+J18+J23</f>
        <v>3014545172</v>
      </c>
      <c r="L32" s="46"/>
    </row>
    <row r="33" spans="1:14" s="48" customFormat="1" ht="28.5" customHeight="1" x14ac:dyDescent="0.2">
      <c r="A33" s="113"/>
      <c r="B33" s="140"/>
      <c r="C33" s="140"/>
      <c r="D33" s="140"/>
      <c r="E33" s="140"/>
      <c r="F33" s="140"/>
      <c r="G33" s="141"/>
      <c r="H33" s="141"/>
      <c r="I33" s="142"/>
      <c r="J33" s="142"/>
      <c r="K33" s="130"/>
      <c r="L33" s="131"/>
    </row>
    <row r="34" spans="1:14" s="48" customFormat="1" ht="28.5" customHeight="1" x14ac:dyDescent="0.2">
      <c r="A34" s="113"/>
      <c r="B34" s="337" t="s">
        <v>102</v>
      </c>
      <c r="C34" s="337"/>
      <c r="D34" s="337"/>
      <c r="E34" s="336"/>
      <c r="F34" s="336"/>
      <c r="G34" s="47"/>
      <c r="H34" s="47"/>
      <c r="I34" s="47"/>
      <c r="J34" s="47"/>
      <c r="K34" s="46"/>
      <c r="L34" s="131"/>
    </row>
    <row r="35" spans="1:14" s="48" customFormat="1" ht="28.5" customHeight="1" x14ac:dyDescent="0.2">
      <c r="A35" s="113"/>
      <c r="B35" s="132"/>
      <c r="C35" s="132"/>
      <c r="D35" s="132"/>
      <c r="E35" s="132"/>
      <c r="F35" s="132"/>
      <c r="G35" s="142"/>
      <c r="H35" s="142"/>
      <c r="I35" s="142"/>
      <c r="J35" s="142"/>
      <c r="K35" s="142"/>
      <c r="L35" s="131"/>
    </row>
    <row r="36" spans="1:14" s="48" customFormat="1" ht="28.5" customHeight="1" x14ac:dyDescent="0.2">
      <c r="A36" s="113"/>
      <c r="B36" s="132" t="s">
        <v>34</v>
      </c>
      <c r="C36" s="132"/>
      <c r="D36" s="132"/>
      <c r="E36" s="132"/>
      <c r="F36" s="132"/>
      <c r="G36" s="134"/>
      <c r="H36" s="135"/>
      <c r="I36" s="134"/>
      <c r="J36" s="135">
        <f>+SUM(I38:I39)</f>
        <v>2966968168</v>
      </c>
      <c r="K36" s="135"/>
      <c r="L36" s="131"/>
    </row>
    <row r="37" spans="1:14" s="52" customFormat="1" ht="28.5" customHeight="1" x14ac:dyDescent="0.2">
      <c r="A37" s="113"/>
      <c r="B37" s="143"/>
      <c r="C37" s="143"/>
      <c r="D37" s="143"/>
      <c r="E37" s="143"/>
      <c r="F37" s="143"/>
      <c r="G37" s="134"/>
      <c r="H37" s="134"/>
      <c r="I37" s="134"/>
      <c r="J37" s="134"/>
      <c r="K37" s="134"/>
      <c r="L37" s="131"/>
    </row>
    <row r="38" spans="1:14" s="52" customFormat="1" ht="28.5" customHeight="1" x14ac:dyDescent="0.2">
      <c r="A38" s="113"/>
      <c r="B38" s="143"/>
      <c r="C38" s="143"/>
      <c r="D38" s="131" t="s">
        <v>13</v>
      </c>
      <c r="E38" s="143"/>
      <c r="F38" s="143"/>
      <c r="G38" s="134"/>
      <c r="H38" s="134"/>
      <c r="I38" s="138">
        <f>+'BZA DE COMP'!G74</f>
        <v>2880820804</v>
      </c>
      <c r="J38" s="134"/>
      <c r="K38" s="134"/>
      <c r="L38" s="131"/>
    </row>
    <row r="39" spans="1:14" s="52" customFormat="1" ht="28.5" customHeight="1" x14ac:dyDescent="0.2">
      <c r="A39" s="113"/>
      <c r="B39" s="133"/>
      <c r="C39" s="133"/>
      <c r="D39" s="131" t="s">
        <v>14</v>
      </c>
      <c r="E39" s="131"/>
      <c r="F39" s="131"/>
      <c r="G39" s="138"/>
      <c r="H39" s="144"/>
      <c r="I39" s="355">
        <f>+H41+H42</f>
        <v>86147364</v>
      </c>
      <c r="J39" s="145"/>
      <c r="K39" s="144"/>
      <c r="L39" s="131"/>
      <c r="N39" s="53" t="s">
        <v>4</v>
      </c>
    </row>
    <row r="40" spans="1:14" s="48" customFormat="1" ht="28.5" customHeight="1" x14ac:dyDescent="0.2">
      <c r="A40" s="113"/>
      <c r="B40" s="133"/>
      <c r="C40" s="133"/>
      <c r="D40" s="131"/>
      <c r="E40" s="131"/>
      <c r="F40" s="131"/>
      <c r="G40" s="138"/>
      <c r="H40" s="144"/>
      <c r="I40" s="138"/>
      <c r="J40" s="145"/>
      <c r="K40" s="144"/>
      <c r="L40" s="131"/>
    </row>
    <row r="41" spans="1:14" s="48" customFormat="1" ht="28.5" customHeight="1" x14ac:dyDescent="0.2">
      <c r="A41" s="113"/>
      <c r="B41" s="133"/>
      <c r="C41" s="133" t="s">
        <v>33</v>
      </c>
      <c r="D41" s="131"/>
      <c r="E41" s="131"/>
      <c r="F41" s="131"/>
      <c r="G41" s="138"/>
      <c r="H41" s="138">
        <f>+'BZA DE COMP'!G75</f>
        <v>26834599</v>
      </c>
      <c r="I41" s="138"/>
      <c r="J41" s="145"/>
      <c r="K41" s="144"/>
      <c r="L41" s="131"/>
    </row>
    <row r="42" spans="1:14" s="48" customFormat="1" ht="28.5" customHeight="1" x14ac:dyDescent="0.2">
      <c r="A42" s="113"/>
      <c r="B42" s="143" t="s">
        <v>4</v>
      </c>
      <c r="C42" s="127" t="s">
        <v>32</v>
      </c>
      <c r="D42" s="143"/>
      <c r="E42" s="143"/>
      <c r="F42" s="143"/>
      <c r="G42" s="134"/>
      <c r="H42" s="355">
        <f>+'BZA DE COMP'!G76</f>
        <v>59312765</v>
      </c>
      <c r="I42" s="144"/>
      <c r="J42" s="145"/>
      <c r="K42" s="144"/>
      <c r="L42" s="131"/>
    </row>
    <row r="43" spans="1:14" s="48" customFormat="1" ht="28.5" customHeight="1" x14ac:dyDescent="0.2">
      <c r="A43" s="113"/>
      <c r="B43" s="132"/>
      <c r="C43" s="132"/>
      <c r="D43" s="132"/>
      <c r="E43" s="132"/>
      <c r="F43" s="132"/>
      <c r="G43" s="134"/>
      <c r="H43" s="144"/>
      <c r="I43" s="138"/>
      <c r="J43" s="145"/>
      <c r="K43" s="138"/>
      <c r="L43" s="131"/>
    </row>
    <row r="44" spans="1:14" s="57" customFormat="1" ht="28.5" customHeight="1" x14ac:dyDescent="0.2">
      <c r="A44" s="113"/>
      <c r="B44" s="132" t="s">
        <v>31</v>
      </c>
      <c r="C44" s="133"/>
      <c r="D44" s="132"/>
      <c r="E44" s="132"/>
      <c r="F44" s="132"/>
      <c r="G44" s="135"/>
      <c r="H44" s="144"/>
      <c r="I44" s="138"/>
      <c r="J44" s="146">
        <f>+'BZA DE COMP'!G77</f>
        <v>63345738</v>
      </c>
      <c r="K44" s="138"/>
      <c r="L44" s="131"/>
    </row>
    <row r="45" spans="1:14" s="57" customFormat="1" ht="28.5" customHeight="1" x14ac:dyDescent="0.2">
      <c r="A45" s="113"/>
      <c r="B45" s="132"/>
      <c r="C45" s="133"/>
      <c r="D45" s="132"/>
      <c r="E45" s="132"/>
      <c r="F45" s="132"/>
      <c r="G45" s="135"/>
      <c r="H45" s="144"/>
      <c r="I45" s="144"/>
      <c r="J45" s="145"/>
      <c r="K45" s="144"/>
      <c r="L45" s="131"/>
    </row>
    <row r="46" spans="1:14" s="60" customFormat="1" ht="28.5" customHeight="1" x14ac:dyDescent="0.2">
      <c r="A46" s="113"/>
      <c r="B46" s="132" t="s">
        <v>30</v>
      </c>
      <c r="C46" s="133"/>
      <c r="D46" s="127"/>
      <c r="E46" s="127"/>
      <c r="F46" s="127"/>
      <c r="G46" s="138"/>
      <c r="H46" s="138"/>
      <c r="I46" s="138"/>
      <c r="J46" s="146">
        <f>+I48+I49</f>
        <v>0</v>
      </c>
      <c r="K46" s="144"/>
      <c r="L46" s="131"/>
    </row>
    <row r="47" spans="1:14" s="60" customFormat="1" ht="28.5" customHeight="1" x14ac:dyDescent="0.2">
      <c r="A47" s="113"/>
      <c r="B47" s="133"/>
      <c r="C47" s="133"/>
      <c r="D47" s="127"/>
      <c r="E47" s="127"/>
      <c r="F47" s="127"/>
      <c r="G47" s="138"/>
      <c r="H47" s="138"/>
      <c r="I47" s="138"/>
      <c r="J47" s="145"/>
      <c r="K47" s="144"/>
      <c r="L47" s="131"/>
    </row>
    <row r="48" spans="1:14" s="48" customFormat="1" ht="28.5" customHeight="1" x14ac:dyDescent="0.2">
      <c r="A48" s="113"/>
      <c r="B48" s="133"/>
      <c r="C48" s="133" t="s">
        <v>29</v>
      </c>
      <c r="D48" s="127"/>
      <c r="E48" s="127"/>
      <c r="F48" s="127"/>
      <c r="G48" s="138"/>
      <c r="H48" s="133"/>
      <c r="I48" s="138">
        <f>+'BZA DE COMP'!G78</f>
        <v>0</v>
      </c>
      <c r="J48" s="133"/>
      <c r="K48" s="144"/>
      <c r="L48" s="131"/>
    </row>
    <row r="49" spans="1:18" s="48" customFormat="1" ht="28.5" customHeight="1" x14ac:dyDescent="0.2">
      <c r="A49" s="113"/>
      <c r="B49" s="133"/>
      <c r="C49" s="133" t="s">
        <v>28</v>
      </c>
      <c r="D49" s="127"/>
      <c r="E49" s="127"/>
      <c r="F49" s="127"/>
      <c r="G49" s="138"/>
      <c r="H49" s="133"/>
      <c r="I49" s="355">
        <f>+'BZA DE COMP'!G79</f>
        <v>0</v>
      </c>
      <c r="J49" s="133"/>
      <c r="K49" s="144"/>
      <c r="L49" s="56"/>
    </row>
    <row r="50" spans="1:18" s="48" customFormat="1" ht="28.5" customHeight="1" x14ac:dyDescent="0.2">
      <c r="A50" s="47"/>
      <c r="B50" s="112"/>
      <c r="C50" s="112"/>
      <c r="D50" s="111"/>
      <c r="E50" s="111"/>
      <c r="F50" s="111"/>
      <c r="G50" s="110"/>
      <c r="H50" s="110"/>
      <c r="I50" s="110"/>
      <c r="J50" s="110"/>
      <c r="K50" s="109"/>
      <c r="L50" s="46"/>
    </row>
    <row r="51" spans="1:18" s="48" customFormat="1" ht="28.5" customHeight="1" x14ac:dyDescent="0.2">
      <c r="A51" s="47"/>
      <c r="B51" s="338" t="s">
        <v>15</v>
      </c>
      <c r="C51" s="339"/>
      <c r="D51" s="339"/>
      <c r="E51" s="339"/>
      <c r="F51" s="339"/>
      <c r="G51" s="49"/>
      <c r="H51" s="50" t="s">
        <v>4</v>
      </c>
      <c r="I51" s="50"/>
      <c r="J51" s="61"/>
      <c r="K51" s="340">
        <f>SUM(J36+J44+J46)</f>
        <v>3030313906</v>
      </c>
      <c r="L51" s="46"/>
    </row>
    <row r="52" spans="1:18" s="48" customFormat="1" ht="28.5" customHeight="1" x14ac:dyDescent="0.2">
      <c r="A52" s="47"/>
      <c r="B52" s="47"/>
      <c r="C52" s="47"/>
      <c r="D52" s="47"/>
      <c r="E52" s="47"/>
      <c r="F52" s="47"/>
      <c r="G52" s="49"/>
      <c r="H52" s="50"/>
      <c r="I52" s="49"/>
      <c r="J52" s="49"/>
      <c r="K52" s="49"/>
      <c r="L52" s="46"/>
    </row>
    <row r="53" spans="1:18" s="48" customFormat="1" ht="28.5" customHeight="1" x14ac:dyDescent="0.2">
      <c r="A53" s="47"/>
      <c r="B53" s="47"/>
      <c r="C53" s="47"/>
      <c r="D53" s="47"/>
      <c r="E53" s="47"/>
      <c r="F53" s="47"/>
      <c r="G53" s="49"/>
      <c r="H53" s="50"/>
      <c r="I53" s="49"/>
      <c r="J53" s="49"/>
      <c r="K53" s="49"/>
      <c r="L53" s="46"/>
      <c r="O53" s="387"/>
      <c r="P53" s="387"/>
      <c r="Q53" s="387"/>
      <c r="R53" s="387"/>
    </row>
    <row r="54" spans="1:18" s="48" customFormat="1" ht="28.5" customHeight="1" x14ac:dyDescent="0.2">
      <c r="A54" s="47"/>
      <c r="B54" s="623" t="s">
        <v>967</v>
      </c>
      <c r="C54" s="623"/>
      <c r="D54" s="623"/>
      <c r="E54" s="623"/>
      <c r="F54" s="623"/>
      <c r="G54" s="49"/>
      <c r="H54" s="50"/>
      <c r="I54" s="49"/>
      <c r="J54" s="62"/>
      <c r="K54" s="341">
        <f>K32-K51</f>
        <v>-15768734</v>
      </c>
      <c r="L54" s="46"/>
      <c r="O54" s="387"/>
      <c r="P54" s="387"/>
      <c r="Q54" s="387"/>
      <c r="R54" s="387"/>
    </row>
    <row r="55" spans="1:18" s="48" customFormat="1" ht="28.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6"/>
      <c r="L55" s="46"/>
      <c r="O55" s="387"/>
      <c r="P55" s="387"/>
      <c r="Q55" s="387"/>
      <c r="R55" s="387"/>
    </row>
    <row r="56" spans="1:18" s="41" customFormat="1" ht="28.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362"/>
      <c r="O56" s="388"/>
      <c r="P56" s="388"/>
      <c r="Q56" s="388"/>
      <c r="R56" s="388"/>
    </row>
    <row r="57" spans="1:18" s="41" customFormat="1" ht="28.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44"/>
      <c r="O57" s="388"/>
      <c r="P57" s="388"/>
      <c r="Q57" s="388"/>
      <c r="R57" s="388"/>
    </row>
    <row r="58" spans="1:18" s="41" customFormat="1" ht="28.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44"/>
    </row>
    <row r="59" spans="1:18" s="41" customFormat="1" ht="28.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44"/>
    </row>
    <row r="60" spans="1:18" s="41" customFormat="1" ht="28.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44"/>
    </row>
    <row r="61" spans="1:18" s="41" customFormat="1" ht="28.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44"/>
    </row>
    <row r="62" spans="1:18" s="41" customFormat="1" ht="28.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44"/>
    </row>
    <row r="63" spans="1:18" s="41" customFormat="1" ht="28.5" customHeight="1" x14ac:dyDescent="0.2"/>
    <row r="64" spans="1:18" s="41" customFormat="1" ht="28.5" customHeight="1" x14ac:dyDescent="0.2">
      <c r="B64" s="108"/>
      <c r="C64" s="108"/>
      <c r="D64" s="108"/>
      <c r="E64" s="108"/>
      <c r="F64" s="108"/>
      <c r="H64" s="621"/>
      <c r="I64" s="621"/>
      <c r="J64" s="621"/>
      <c r="K64" s="621"/>
    </row>
    <row r="65" spans="2:11" s="41" customFormat="1" ht="28.5" customHeight="1" x14ac:dyDescent="0.2">
      <c r="B65" s="108"/>
      <c r="C65" s="108"/>
      <c r="D65" s="108"/>
      <c r="E65" s="108"/>
      <c r="F65" s="108"/>
      <c r="H65" s="621"/>
      <c r="I65" s="621"/>
      <c r="J65" s="621"/>
      <c r="K65" s="621"/>
    </row>
    <row r="66" spans="2:11" s="41" customFormat="1" ht="28.5" customHeight="1" x14ac:dyDescent="0.2">
      <c r="B66" s="44"/>
      <c r="C66" s="44"/>
      <c r="D66" s="44"/>
      <c r="E66" s="44"/>
      <c r="F66" s="44"/>
      <c r="H66" s="621"/>
      <c r="I66" s="621"/>
      <c r="J66" s="621"/>
      <c r="K66" s="621"/>
    </row>
    <row r="67" spans="2:11" s="41" customFormat="1" ht="26.25" customHeight="1" x14ac:dyDescent="0.2">
      <c r="B67" s="42"/>
      <c r="C67" s="42"/>
      <c r="D67" s="42"/>
      <c r="E67" s="42"/>
      <c r="F67" s="42"/>
      <c r="G67" s="42"/>
      <c r="H67" s="42"/>
      <c r="I67" s="42"/>
      <c r="J67" s="42"/>
      <c r="K67" s="42"/>
    </row>
    <row r="68" spans="2:11" s="41" customFormat="1" ht="15.75" customHeight="1" x14ac:dyDescent="0.2">
      <c r="H68" s="44"/>
      <c r="I68" s="44"/>
      <c r="J68" s="44"/>
    </row>
    <row r="69" spans="2:11" ht="15.75" customHeight="1" x14ac:dyDescent="0.2">
      <c r="H69" s="36"/>
      <c r="I69" s="36"/>
      <c r="J69" s="36"/>
    </row>
    <row r="70" spans="2:11" ht="15.75" customHeight="1" x14ac:dyDescent="0.2">
      <c r="H70" s="36"/>
      <c r="I70" s="36"/>
      <c r="J70" s="36"/>
    </row>
    <row r="87" spans="7:7" ht="15.75" customHeight="1" x14ac:dyDescent="0.2">
      <c r="G87" s="37"/>
    </row>
    <row r="88" spans="7:7" ht="15.75" customHeight="1" x14ac:dyDescent="0.2">
      <c r="G88" s="37"/>
    </row>
    <row r="89" spans="7:7" ht="15.75" customHeight="1" x14ac:dyDescent="0.2">
      <c r="G89" s="37"/>
    </row>
    <row r="90" spans="7:7" ht="15.75" customHeight="1" x14ac:dyDescent="0.2">
      <c r="G90" s="37"/>
    </row>
    <row r="91" spans="7:7" ht="15.75" customHeight="1" x14ac:dyDescent="0.2">
      <c r="G91" s="37"/>
    </row>
    <row r="92" spans="7:7" ht="15.75" customHeight="1" x14ac:dyDescent="0.2">
      <c r="G92" s="37"/>
    </row>
    <row r="93" spans="7:7" ht="15.75" customHeight="1" x14ac:dyDescent="0.2">
      <c r="G93" s="37"/>
    </row>
  </sheetData>
  <mergeCells count="7">
    <mergeCell ref="A2:L2"/>
    <mergeCell ref="A3:L3"/>
    <mergeCell ref="H66:K66"/>
    <mergeCell ref="H64:K64"/>
    <mergeCell ref="H65:K65"/>
    <mergeCell ref="A4:K4"/>
    <mergeCell ref="B54:F54"/>
  </mergeCells>
  <phoneticPr fontId="0" type="noConversion"/>
  <printOptions horizontalCentered="1"/>
  <pageMargins left="0.59055118110236227" right="0.59055118110236227" top="0.59055118110236227" bottom="0.39370078740157483" header="0" footer="0"/>
  <pageSetup scale="43" orientation="portrait" horizontalDpi="300" verticalDpi="300" r:id="rId1"/>
  <headerFooter alignWithMargins="0"/>
  <rowBreaks count="1" manualBreakCount="1">
    <brk id="60" max="11" man="1"/>
  </rowBreaks>
  <drawing r:id="rId2"/>
  <legacyDrawing r:id="rId3"/>
  <oleObjects>
    <mc:AlternateContent xmlns:mc="http://schemas.openxmlformats.org/markup-compatibility/2006">
      <mc:Choice Requires="x14">
        <oleObject progId="Excel.Sheet.8" shapeId="26649" r:id="rId4">
          <objectPr defaultSize="0" autoPict="0" r:id="rId5">
            <anchor moveWithCells="1" sizeWithCells="1">
              <from>
                <xdr:col>6</xdr:col>
                <xdr:colOff>1419225</xdr:colOff>
                <xdr:row>57</xdr:row>
                <xdr:rowOff>200025</xdr:rowOff>
              </from>
              <to>
                <xdr:col>9</xdr:col>
                <xdr:colOff>1009650</xdr:colOff>
                <xdr:row>59</xdr:row>
                <xdr:rowOff>228600</xdr:rowOff>
              </to>
            </anchor>
          </objectPr>
        </oleObject>
      </mc:Choice>
      <mc:Fallback>
        <oleObject progId="Excel.Sheet.8" shapeId="26649" r:id="rId4"/>
      </mc:Fallback>
    </mc:AlternateContent>
    <mc:AlternateContent xmlns:mc="http://schemas.openxmlformats.org/markup-compatibility/2006">
      <mc:Choice Requires="x14">
        <oleObject progId="Excel.Sheet.8" shapeId="26650" r:id="rId6">
          <objectPr defaultSize="0" autoPict="0" r:id="rId7">
            <anchor moveWithCells="1" sizeWithCells="1">
              <from>
                <xdr:col>3</xdr:col>
                <xdr:colOff>304800</xdr:colOff>
                <xdr:row>57</xdr:row>
                <xdr:rowOff>200025</xdr:rowOff>
              </from>
              <to>
                <xdr:col>5</xdr:col>
                <xdr:colOff>2085975</xdr:colOff>
                <xdr:row>59</xdr:row>
                <xdr:rowOff>228600</xdr:rowOff>
              </to>
            </anchor>
          </objectPr>
        </oleObject>
      </mc:Choice>
      <mc:Fallback>
        <oleObject progId="Excel.Sheet.8" shapeId="26650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5"/>
  <sheetViews>
    <sheetView view="pageBreakPreview" topLeftCell="A22" zoomScale="80" zoomScaleSheetLayoutView="80" workbookViewId="0">
      <selection activeCell="J21" sqref="J21"/>
    </sheetView>
  </sheetViews>
  <sheetFormatPr baseColWidth="10" defaultRowHeight="15.75" customHeight="1" x14ac:dyDescent="0.2"/>
  <cols>
    <col min="1" max="2" width="2.85546875" style="32" customWidth="1"/>
    <col min="3" max="3" width="64.140625" style="32" customWidth="1"/>
    <col min="4" max="4" width="2.85546875" style="32" customWidth="1"/>
    <col min="5" max="10" width="16.140625" style="32" customWidth="1"/>
    <col min="11" max="11" width="2.85546875" style="33" customWidth="1"/>
    <col min="12" max="12" width="17.140625" style="32" customWidth="1"/>
    <col min="13" max="13" width="2.85546875" style="32" customWidth="1"/>
    <col min="14" max="14" width="12.28515625" style="32" bestFit="1" customWidth="1"/>
    <col min="15" max="16384" width="11.42578125" style="32"/>
  </cols>
  <sheetData>
    <row r="1" spans="1:13" s="33" customFormat="1" ht="9" customHeight="1" x14ac:dyDescent="0.2"/>
    <row r="2" spans="1:13" s="33" customFormat="1" ht="29.25" customHeight="1" x14ac:dyDescent="0.2">
      <c r="A2" s="619" t="s">
        <v>7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</row>
    <row r="3" spans="1:13" s="33" customFormat="1" ht="29.25" customHeight="1" x14ac:dyDescent="0.2">
      <c r="A3" s="619" t="s">
        <v>106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</row>
    <row r="4" spans="1:13" s="33" customFormat="1" ht="9" customHeight="1" x14ac:dyDescent="0.2">
      <c r="A4" s="622"/>
      <c r="B4" s="622"/>
      <c r="C4" s="622"/>
      <c r="D4" s="622"/>
      <c r="E4" s="622"/>
      <c r="F4" s="64"/>
      <c r="G4" s="64"/>
      <c r="H4" s="64"/>
      <c r="I4" s="64"/>
      <c r="J4" s="64"/>
      <c r="K4" s="64"/>
      <c r="L4" s="64"/>
    </row>
    <row r="5" spans="1:13" s="33" customFormat="1" ht="15.75" customHeight="1" x14ac:dyDescent="0.2"/>
    <row r="6" spans="1:13" s="33" customFormat="1" ht="15.75" customHeight="1" x14ac:dyDescent="0.25">
      <c r="A6" s="638" t="s">
        <v>81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</row>
    <row r="7" spans="1:13" s="33" customFormat="1" ht="15.75" customHeight="1" x14ac:dyDescent="0.25">
      <c r="A7" s="638" t="str">
        <f>+'MOD PATRIMONIAL'!A7:N7</f>
        <v>DEL 01 DE ENERO AL  31  DE  DICIEMBRE  DE  2015</v>
      </c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</row>
    <row r="8" spans="1:13" s="33" customFormat="1" ht="15.75" customHeight="1" x14ac:dyDescent="0.25">
      <c r="A8" s="34"/>
      <c r="B8" s="34"/>
      <c r="C8" s="35"/>
      <c r="D8" s="35"/>
      <c r="E8" s="40"/>
      <c r="F8" s="35"/>
      <c r="G8" s="35"/>
      <c r="H8" s="35"/>
      <c r="I8" s="35"/>
      <c r="J8" s="35"/>
      <c r="K8" s="35"/>
      <c r="L8" s="35"/>
    </row>
    <row r="9" spans="1:13" s="33" customFormat="1" ht="15.75" customHeight="1" x14ac:dyDescent="0.25">
      <c r="A9" s="34"/>
      <c r="B9" s="34"/>
      <c r="C9" s="35"/>
      <c r="D9" s="35"/>
      <c r="E9" s="35"/>
      <c r="F9" s="35"/>
      <c r="G9" s="35"/>
      <c r="H9" s="35"/>
      <c r="I9" s="35"/>
      <c r="J9" s="35"/>
      <c r="K9" s="35"/>
      <c r="L9" s="35"/>
    </row>
    <row r="10" spans="1:13" s="152" customFormat="1" ht="12.75" customHeight="1" x14ac:dyDescent="0.2">
      <c r="A10" s="148"/>
      <c r="B10" s="645" t="s">
        <v>6</v>
      </c>
      <c r="C10" s="645"/>
      <c r="D10" s="150"/>
      <c r="E10" s="646" t="s">
        <v>50</v>
      </c>
      <c r="F10" s="646"/>
      <c r="G10" s="646"/>
      <c r="H10" s="646"/>
      <c r="I10" s="646"/>
      <c r="J10" s="646"/>
      <c r="K10" s="156"/>
      <c r="L10" s="645" t="s">
        <v>78</v>
      </c>
    </row>
    <row r="11" spans="1:13" s="152" customFormat="1" ht="27.75" customHeight="1" x14ac:dyDescent="0.2">
      <c r="A11" s="148"/>
      <c r="B11" s="645"/>
      <c r="C11" s="645"/>
      <c r="D11" s="148"/>
      <c r="E11" s="351" t="s">
        <v>644</v>
      </c>
      <c r="F11" s="351" t="s">
        <v>645</v>
      </c>
      <c r="G11" s="351" t="s">
        <v>646</v>
      </c>
      <c r="H11" s="351" t="s">
        <v>647</v>
      </c>
      <c r="I11" s="351" t="s">
        <v>648</v>
      </c>
      <c r="J11" s="351" t="s">
        <v>649</v>
      </c>
      <c r="K11" s="167"/>
      <c r="L11" s="645"/>
    </row>
    <row r="12" spans="1:13" s="29" customFormat="1" ht="15.75" customHeight="1" x14ac:dyDescent="0.2">
      <c r="E12" s="172"/>
      <c r="F12" s="172"/>
      <c r="G12" s="172"/>
      <c r="H12" s="172"/>
      <c r="I12" s="172"/>
      <c r="J12" s="172"/>
      <c r="K12" s="163"/>
      <c r="L12" s="172"/>
    </row>
    <row r="13" spans="1:13" s="159" customFormat="1" ht="15.75" customHeight="1" x14ac:dyDescent="0.2">
      <c r="B13" s="159" t="s">
        <v>9</v>
      </c>
      <c r="E13" s="170">
        <v>0</v>
      </c>
      <c r="F13" s="296">
        <v>0</v>
      </c>
      <c r="G13" s="170">
        <v>0</v>
      </c>
      <c r="H13" s="170">
        <v>0</v>
      </c>
      <c r="I13" s="170">
        <v>0</v>
      </c>
      <c r="J13" s="170">
        <v>0</v>
      </c>
      <c r="K13" s="171"/>
      <c r="L13" s="170">
        <v>0</v>
      </c>
    </row>
    <row r="14" spans="1:13" s="29" customFormat="1" ht="15.75" customHeight="1" x14ac:dyDescent="0.2">
      <c r="E14" s="172"/>
      <c r="G14" s="172"/>
      <c r="H14" s="172"/>
      <c r="I14" s="172"/>
      <c r="J14" s="172"/>
      <c r="K14" s="163"/>
      <c r="L14" s="172"/>
    </row>
    <row r="15" spans="1:13" s="29" customFormat="1" ht="15.75" customHeight="1" x14ac:dyDescent="0.2">
      <c r="E15" s="172"/>
      <c r="G15" s="172"/>
      <c r="H15" s="172"/>
      <c r="I15" s="172"/>
      <c r="J15" s="172"/>
      <c r="K15" s="163"/>
      <c r="L15" s="172"/>
    </row>
    <row r="16" spans="1:13" s="159" customFormat="1" ht="15.75" customHeight="1" x14ac:dyDescent="0.2">
      <c r="B16" s="159" t="s">
        <v>10</v>
      </c>
      <c r="E16" s="297">
        <f t="shared" ref="E16:J16" si="0">SUM(E17:E18)</f>
        <v>0</v>
      </c>
      <c r="F16" s="297">
        <f t="shared" si="0"/>
        <v>0</v>
      </c>
      <c r="G16" s="297">
        <f t="shared" si="0"/>
        <v>0</v>
      </c>
      <c r="H16" s="297">
        <f t="shared" si="0"/>
        <v>0</v>
      </c>
      <c r="I16" s="297">
        <f t="shared" si="0"/>
        <v>0</v>
      </c>
      <c r="J16" s="297">
        <f t="shared" si="0"/>
        <v>0</v>
      </c>
      <c r="K16" s="171"/>
      <c r="L16" s="297">
        <f>SUM(L17:L18)</f>
        <v>0</v>
      </c>
    </row>
    <row r="17" spans="2:17" s="29" customFormat="1" ht="15.75" customHeight="1" x14ac:dyDescent="0.2">
      <c r="E17" s="172"/>
      <c r="F17" s="172"/>
      <c r="G17" s="172"/>
      <c r="H17" s="172"/>
      <c r="I17" s="172"/>
      <c r="J17" s="172"/>
      <c r="K17" s="163"/>
      <c r="L17" s="172"/>
    </row>
    <row r="18" spans="2:17" s="29" customFormat="1" ht="15.75" customHeight="1" x14ac:dyDescent="0.2">
      <c r="C18" s="254"/>
      <c r="E18" s="168"/>
      <c r="F18" s="172"/>
      <c r="G18" s="168"/>
      <c r="H18" s="168"/>
      <c r="I18" s="168"/>
      <c r="J18" s="168"/>
      <c r="K18" s="169"/>
      <c r="L18" s="168"/>
      <c r="N18" s="487"/>
    </row>
    <row r="19" spans="2:17" s="159" customFormat="1" ht="15.75" customHeight="1" x14ac:dyDescent="0.2">
      <c r="B19" s="159" t="s">
        <v>11</v>
      </c>
      <c r="E19" s="170">
        <f>SUM(E20:E29)</f>
        <v>0</v>
      </c>
      <c r="F19" s="297">
        <f>SUM(F20:F29)</f>
        <v>2470939</v>
      </c>
      <c r="G19" s="297">
        <f>SUM(G20:G35)</f>
        <v>72447</v>
      </c>
      <c r="H19" s="297">
        <f>SUM(H20:H29)</f>
        <v>6019</v>
      </c>
      <c r="I19" s="170">
        <f>SUM(I20:I29)</f>
        <v>1847492</v>
      </c>
      <c r="J19" s="171">
        <f>SUM(J20:J29)</f>
        <v>7347889</v>
      </c>
      <c r="K19" s="171"/>
      <c r="L19" s="171">
        <f>+SUM(E19:J19)</f>
        <v>11744786</v>
      </c>
      <c r="N19" s="488"/>
    </row>
    <row r="20" spans="2:17" s="29" customFormat="1" ht="15.75" customHeight="1" x14ac:dyDescent="0.2">
      <c r="C20" s="157" t="s">
        <v>898</v>
      </c>
      <c r="E20" s="172"/>
      <c r="F20" s="172">
        <v>2470939</v>
      </c>
      <c r="G20" s="172">
        <v>72447</v>
      </c>
      <c r="H20" s="172">
        <v>6019</v>
      </c>
      <c r="I20" s="172">
        <v>1847492</v>
      </c>
      <c r="J20" s="163">
        <v>7347889</v>
      </c>
      <c r="K20" s="163"/>
      <c r="L20" s="163"/>
      <c r="N20" s="487"/>
    </row>
    <row r="21" spans="2:17" s="29" customFormat="1" ht="15.75" customHeight="1" x14ac:dyDescent="0.2">
      <c r="C21" s="254"/>
      <c r="E21" s="172"/>
      <c r="F21" s="172"/>
      <c r="G21" s="172"/>
      <c r="H21" s="172"/>
      <c r="I21" s="172"/>
      <c r="J21" s="163"/>
      <c r="K21" s="163"/>
      <c r="L21" s="169"/>
    </row>
    <row r="22" spans="2:17" s="29" customFormat="1" ht="15.75" customHeight="1" x14ac:dyDescent="0.2">
      <c r="C22" s="254"/>
      <c r="E22" s="172"/>
      <c r="F22" s="172"/>
      <c r="G22" s="172"/>
      <c r="H22" s="172"/>
      <c r="I22" s="172"/>
      <c r="J22" s="163"/>
      <c r="K22" s="163"/>
      <c r="L22" s="169"/>
    </row>
    <row r="23" spans="2:17" s="29" customFormat="1" ht="15.75" customHeight="1" x14ac:dyDescent="0.2"/>
    <row r="24" spans="2:17" s="29" customFormat="1" ht="15.75" customHeight="1" x14ac:dyDescent="0.2"/>
    <row r="25" spans="2:17" s="29" customFormat="1" ht="15.75" customHeight="1" x14ac:dyDescent="0.2">
      <c r="Q25" s="157" t="s">
        <v>894</v>
      </c>
    </row>
    <row r="26" spans="2:17" s="29" customFormat="1" ht="15.75" customHeight="1" x14ac:dyDescent="0.2"/>
    <row r="27" spans="2:17" s="29" customFormat="1" ht="15.75" hidden="1" customHeight="1" x14ac:dyDescent="0.2">
      <c r="C27" s="254" t="s">
        <v>660</v>
      </c>
      <c r="E27" s="172"/>
      <c r="F27" s="172"/>
      <c r="G27" s="172"/>
      <c r="H27" s="172"/>
      <c r="I27" s="172"/>
      <c r="J27" s="163"/>
      <c r="K27" s="163"/>
      <c r="L27" s="169">
        <f t="shared" ref="L27:L28" si="1">SUM(E27:K27)</f>
        <v>0</v>
      </c>
    </row>
    <row r="28" spans="2:17" s="29" customFormat="1" ht="15.75" hidden="1" customHeight="1" x14ac:dyDescent="0.2">
      <c r="C28" s="254" t="s">
        <v>661</v>
      </c>
      <c r="E28" s="172"/>
      <c r="F28" s="172"/>
      <c r="G28" s="172"/>
      <c r="H28" s="172"/>
      <c r="I28" s="172"/>
      <c r="J28" s="163"/>
      <c r="K28" s="163"/>
      <c r="L28" s="169">
        <f t="shared" si="1"/>
        <v>0</v>
      </c>
    </row>
    <row r="29" spans="2:17" s="29" customFormat="1" ht="15.75" hidden="1" customHeight="1" x14ac:dyDescent="0.2">
      <c r="C29" s="254" t="s">
        <v>662</v>
      </c>
      <c r="E29" s="172"/>
      <c r="F29" s="172"/>
      <c r="G29" s="172"/>
      <c r="H29" s="172"/>
      <c r="I29" s="172"/>
      <c r="J29" s="163"/>
      <c r="K29" s="163"/>
      <c r="L29" s="169">
        <f>SUM(E29:K29)</f>
        <v>0</v>
      </c>
    </row>
    <row r="30" spans="2:17" s="29" customFormat="1" ht="15.75" customHeight="1" x14ac:dyDescent="0.2">
      <c r="E30" s="172"/>
      <c r="F30" s="172"/>
      <c r="H30" s="172"/>
      <c r="I30" s="172"/>
      <c r="J30" s="163"/>
      <c r="K30" s="163"/>
      <c r="L30" s="163"/>
    </row>
    <row r="31" spans="2:17" s="29" customFormat="1" ht="15.75" customHeight="1" x14ac:dyDescent="0.2">
      <c r="E31" s="172"/>
      <c r="F31" s="172"/>
      <c r="H31" s="172"/>
      <c r="I31" s="172"/>
      <c r="J31" s="163"/>
      <c r="K31" s="163"/>
      <c r="L31" s="163"/>
    </row>
    <row r="32" spans="2:17" s="29" customFormat="1" ht="15.75" customHeight="1" x14ac:dyDescent="0.2">
      <c r="E32" s="172"/>
      <c r="F32" s="172"/>
      <c r="H32" s="172"/>
      <c r="I32" s="172"/>
      <c r="J32" s="163"/>
      <c r="K32" s="163"/>
      <c r="L32" s="163"/>
    </row>
    <row r="33" spans="1:12" s="29" customFormat="1" ht="15.75" customHeight="1" x14ac:dyDescent="0.2">
      <c r="E33" s="172"/>
      <c r="F33" s="172"/>
      <c r="H33" s="172"/>
      <c r="I33" s="172"/>
      <c r="J33" s="163"/>
      <c r="K33" s="163"/>
      <c r="L33" s="163"/>
    </row>
    <row r="34" spans="1:12" s="29" customFormat="1" ht="15.75" customHeight="1" x14ac:dyDescent="0.2">
      <c r="E34" s="172"/>
      <c r="F34" s="172"/>
      <c r="G34" s="172"/>
      <c r="H34" s="172"/>
      <c r="I34" s="172"/>
      <c r="J34" s="163"/>
      <c r="K34" s="163"/>
      <c r="L34" s="163"/>
    </row>
    <row r="35" spans="1:12" s="29" customFormat="1" ht="15.75" customHeight="1" x14ac:dyDescent="0.2">
      <c r="E35" s="172"/>
      <c r="F35" s="172"/>
      <c r="G35" s="172"/>
      <c r="H35" s="172"/>
      <c r="I35" s="172"/>
      <c r="J35" s="163"/>
      <c r="K35" s="163"/>
      <c r="L35" s="163"/>
    </row>
    <row r="36" spans="1:12" s="29" customFormat="1" ht="15.75" customHeight="1" x14ac:dyDescent="0.25">
      <c r="E36" s="172"/>
      <c r="F36" s="172"/>
      <c r="G36" s="172"/>
      <c r="H36" s="187"/>
      <c r="I36" s="172"/>
      <c r="J36" s="163"/>
      <c r="K36" s="163"/>
      <c r="L36" s="163"/>
    </row>
    <row r="37" spans="1:12" s="29" customFormat="1" ht="15.75" customHeight="1" x14ac:dyDescent="0.25">
      <c r="E37" s="172"/>
      <c r="F37" s="172"/>
      <c r="G37" s="172"/>
      <c r="H37" s="187"/>
      <c r="I37" s="172"/>
      <c r="J37" s="172"/>
      <c r="K37" s="163"/>
      <c r="L37" s="172"/>
    </row>
    <row r="38" spans="1:12" s="29" customFormat="1" ht="15.75" customHeight="1" x14ac:dyDescent="0.2">
      <c r="E38" s="172"/>
      <c r="F38" s="172"/>
      <c r="G38" s="172"/>
      <c r="H38" s="172"/>
      <c r="I38" s="172"/>
      <c r="J38" s="172"/>
      <c r="K38" s="163"/>
      <c r="L38" s="172"/>
    </row>
    <row r="39" spans="1:12" s="29" customFormat="1" ht="15.75" customHeight="1" x14ac:dyDescent="0.2">
      <c r="E39" s="172"/>
      <c r="F39" s="172"/>
      <c r="G39" s="172"/>
      <c r="H39" s="172"/>
      <c r="I39" s="172"/>
      <c r="J39" s="172"/>
      <c r="K39" s="163"/>
      <c r="L39" s="172"/>
    </row>
    <row r="40" spans="1:12" s="29" customFormat="1" ht="15.75" customHeight="1" x14ac:dyDescent="0.2">
      <c r="E40" s="172"/>
      <c r="F40" s="172"/>
      <c r="G40" s="172"/>
      <c r="H40" s="172"/>
      <c r="I40" s="172"/>
      <c r="J40" s="172"/>
      <c r="K40" s="163"/>
      <c r="L40" s="172"/>
    </row>
    <row r="41" spans="1:12" s="29" customFormat="1" ht="15.75" customHeight="1" x14ac:dyDescent="0.2">
      <c r="E41" s="172"/>
      <c r="F41" s="172"/>
      <c r="G41" s="172"/>
      <c r="H41" s="172"/>
      <c r="I41" s="172"/>
      <c r="J41" s="172"/>
      <c r="K41" s="163"/>
      <c r="L41" s="172"/>
    </row>
    <row r="42" spans="1:12" s="29" customFormat="1" ht="15.75" customHeight="1" x14ac:dyDescent="0.2">
      <c r="E42" s="172"/>
      <c r="F42" s="172"/>
      <c r="G42" s="172"/>
      <c r="H42" s="172"/>
      <c r="I42" s="172"/>
      <c r="J42" s="172"/>
      <c r="K42" s="163"/>
      <c r="L42" s="172"/>
    </row>
    <row r="43" spans="1:12" s="29" customFormat="1" ht="15.75" customHeight="1" x14ac:dyDescent="0.2">
      <c r="E43" s="172"/>
      <c r="F43" s="172"/>
      <c r="G43" s="172"/>
      <c r="H43" s="172"/>
      <c r="I43" s="172"/>
      <c r="J43" s="172"/>
      <c r="K43" s="163"/>
      <c r="L43" s="172"/>
    </row>
    <row r="44" spans="1:12" s="29" customFormat="1" ht="15.75" customHeight="1" x14ac:dyDescent="0.2">
      <c r="E44" s="172"/>
      <c r="F44" s="172"/>
      <c r="G44" s="172"/>
      <c r="H44" s="172"/>
      <c r="I44" s="172"/>
      <c r="J44" s="172"/>
      <c r="K44" s="163"/>
      <c r="L44" s="172"/>
    </row>
    <row r="45" spans="1:12" s="29" customFormat="1" ht="15.75" customHeight="1" x14ac:dyDescent="0.2">
      <c r="E45" s="172"/>
      <c r="F45" s="172"/>
      <c r="G45" s="172"/>
      <c r="H45" s="172"/>
      <c r="I45" s="172"/>
      <c r="J45" s="172"/>
      <c r="K45" s="163"/>
      <c r="L45" s="172"/>
    </row>
    <row r="46" spans="1:12" s="29" customFormat="1" ht="15.75" customHeight="1" x14ac:dyDescent="0.2">
      <c r="E46" s="172"/>
      <c r="F46" s="172"/>
      <c r="G46" s="172"/>
      <c r="H46" s="172"/>
      <c r="I46" s="172"/>
      <c r="J46" s="172"/>
      <c r="K46" s="163"/>
      <c r="L46" s="172"/>
    </row>
    <row r="47" spans="1:12" s="29" customFormat="1" ht="15.75" customHeight="1" x14ac:dyDescent="0.2">
      <c r="E47" s="172"/>
      <c r="F47" s="172"/>
      <c r="G47" s="172"/>
      <c r="H47" s="172"/>
      <c r="I47" s="172"/>
      <c r="J47" s="172"/>
      <c r="K47" s="163"/>
      <c r="L47" s="172"/>
    </row>
    <row r="48" spans="1:12" s="19" customFormat="1" ht="18.75" customHeight="1" x14ac:dyDescent="0.25">
      <c r="A48" s="21"/>
      <c r="B48" s="21"/>
      <c r="C48" s="347" t="s">
        <v>82</v>
      </c>
      <c r="D48" s="21"/>
      <c r="E48" s="347">
        <f t="shared" ref="E48:J48" si="2">+E13+E16+E19</f>
        <v>0</v>
      </c>
      <c r="F48" s="347">
        <f t="shared" si="2"/>
        <v>2470939</v>
      </c>
      <c r="G48" s="347">
        <f t="shared" si="2"/>
        <v>72447</v>
      </c>
      <c r="H48" s="347">
        <f t="shared" si="2"/>
        <v>6019</v>
      </c>
      <c r="I48" s="347">
        <f t="shared" si="2"/>
        <v>1847492</v>
      </c>
      <c r="J48" s="347">
        <f t="shared" si="2"/>
        <v>7347889</v>
      </c>
      <c r="K48" s="161"/>
      <c r="L48" s="347">
        <f>+L13+L16+L19</f>
        <v>11744786</v>
      </c>
    </row>
    <row r="49" spans="12:12" ht="15.75" customHeight="1" x14ac:dyDescent="0.2">
      <c r="L49" s="165">
        <f>+L48-'BZA DE COMP'!H66-'BZA DE COMP'!H67</f>
        <v>0</v>
      </c>
    </row>
    <row r="55" spans="12:12" ht="15.75" hidden="1" customHeight="1" x14ac:dyDescent="0.2"/>
  </sheetData>
  <mergeCells count="8">
    <mergeCell ref="A7:M7"/>
    <mergeCell ref="E10:J10"/>
    <mergeCell ref="B10:C11"/>
    <mergeCell ref="L10:L11"/>
    <mergeCell ref="A2:M2"/>
    <mergeCell ref="A3:M3"/>
    <mergeCell ref="A4:E4"/>
    <mergeCell ref="A6:M6"/>
  </mergeCells>
  <phoneticPr fontId="10" type="noConversion"/>
  <printOptions horizontalCentered="1" verticalCentered="1"/>
  <pageMargins left="0.39370078740157483" right="0.39370078740157483" top="0.59055118110236227" bottom="0.59055118110236227" header="0" footer="0"/>
  <pageSetup scale="69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22"/>
  <sheetViews>
    <sheetView view="pageBreakPreview" zoomScale="60" workbookViewId="0">
      <selection activeCell="A9" sqref="A9:Q9"/>
    </sheetView>
  </sheetViews>
  <sheetFormatPr baseColWidth="10" defaultRowHeight="12.75" x14ac:dyDescent="0.2"/>
  <cols>
    <col min="1" max="2" width="2.140625" customWidth="1"/>
    <col min="3" max="3" width="11.5703125" customWidth="1"/>
    <col min="4" max="4" width="50.140625" customWidth="1"/>
    <col min="5" max="5" width="2.140625" customWidth="1"/>
    <col min="6" max="7" width="9.28515625" customWidth="1"/>
    <col min="8" max="8" width="2.140625" customWidth="1"/>
    <col min="9" max="9" width="14.28515625" customWidth="1"/>
    <col min="10" max="10" width="2.140625" customWidth="1"/>
    <col min="11" max="11" width="12.85546875" hidden="1" customWidth="1"/>
    <col min="12" max="12" width="21.28515625" hidden="1" customWidth="1"/>
    <col min="13" max="13" width="16.28515625" hidden="1" customWidth="1"/>
    <col min="14" max="14" width="28.5703125" customWidth="1"/>
    <col min="15" max="15" width="2.140625" customWidth="1"/>
    <col min="16" max="16" width="28.5703125" customWidth="1"/>
    <col min="17" max="17" width="2.140625" customWidth="1"/>
    <col min="18" max="18" width="10.85546875" hidden="1" customWidth="1"/>
    <col min="19" max="19" width="20.85546875" hidden="1" customWidth="1"/>
    <col min="20" max="21" width="11.42578125" hidden="1" customWidth="1"/>
    <col min="22" max="22" width="18.7109375" hidden="1" customWidth="1"/>
  </cols>
  <sheetData>
    <row r="1" spans="1:22" ht="15" customHeight="1" x14ac:dyDescent="0.2"/>
    <row r="2" spans="1:22" ht="25.5" customHeight="1" x14ac:dyDescent="0.2">
      <c r="A2" s="634" t="s">
        <v>0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</row>
    <row r="3" spans="1:22" ht="25.5" customHeight="1" x14ac:dyDescent="0.2">
      <c r="A3" s="658" t="s">
        <v>106</v>
      </c>
      <c r="B3" s="658"/>
      <c r="C3" s="658"/>
      <c r="D3" s="658"/>
      <c r="E3" s="658"/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</row>
    <row r="4" spans="1:2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2" ht="1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2" ht="15" customHeight="1" x14ac:dyDescent="0.25">
      <c r="A6" s="638" t="s">
        <v>91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</row>
    <row r="7" spans="1:22" ht="15" customHeight="1" x14ac:dyDescent="0.25">
      <c r="A7" s="638" t="s">
        <v>681</v>
      </c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</row>
    <row r="8" spans="1:22" ht="15" customHeight="1" x14ac:dyDescent="0.25">
      <c r="A8" s="638" t="s">
        <v>977</v>
      </c>
      <c r="B8" s="638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638"/>
    </row>
    <row r="9" spans="1:22" ht="15" customHeight="1" x14ac:dyDescent="0.25">
      <c r="A9" s="638" t="s">
        <v>1</v>
      </c>
      <c r="B9" s="638"/>
      <c r="C9" s="638"/>
      <c r="D9" s="638"/>
      <c r="E9" s="638"/>
      <c r="F9" s="638"/>
      <c r="G9" s="638"/>
      <c r="H9" s="638"/>
      <c r="I9" s="638"/>
      <c r="J9" s="638"/>
      <c r="K9" s="638"/>
      <c r="L9" s="638"/>
      <c r="M9" s="638"/>
      <c r="N9" s="638"/>
      <c r="O9" s="638"/>
      <c r="P9" s="638"/>
      <c r="Q9" s="638"/>
    </row>
    <row r="10" spans="1:22" ht="15" customHeight="1" x14ac:dyDescent="0.2">
      <c r="A10" s="637"/>
      <c r="B10" s="637"/>
      <c r="C10" s="637"/>
      <c r="D10" s="637"/>
      <c r="E10" s="637"/>
      <c r="F10" s="637"/>
      <c r="G10" s="637"/>
      <c r="H10" s="637"/>
      <c r="I10" s="637"/>
      <c r="J10" s="637"/>
      <c r="K10" s="637"/>
      <c r="L10" s="637"/>
      <c r="M10" s="637"/>
      <c r="N10" s="637"/>
      <c r="O10" s="637"/>
      <c r="P10" s="637"/>
      <c r="Q10" s="637"/>
    </row>
    <row r="11" spans="1:22" ht="18.75" customHeight="1" x14ac:dyDescent="0.2">
      <c r="A11" s="234"/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40"/>
      <c r="S11" s="648" t="s">
        <v>365</v>
      </c>
      <c r="T11" s="648"/>
      <c r="U11" s="649">
        <f>+'EDO ING Y EGR'!I38</f>
        <v>2880820804</v>
      </c>
      <c r="V11" s="648"/>
    </row>
    <row r="12" spans="1:22" ht="18.75" customHeight="1" thickBot="1" x14ac:dyDescent="0.25">
      <c r="A12" s="234"/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40"/>
      <c r="S12" s="648" t="s">
        <v>366</v>
      </c>
      <c r="T12" s="648"/>
      <c r="U12" s="649">
        <f>+N472+P472</f>
        <v>2880820803.9999948</v>
      </c>
      <c r="V12" s="648"/>
    </row>
    <row r="13" spans="1:22" ht="18.75" customHeight="1" x14ac:dyDescent="0.2">
      <c r="A13" s="241"/>
      <c r="B13" s="650" t="s">
        <v>369</v>
      </c>
      <c r="C13" s="650"/>
      <c r="D13" s="629" t="s">
        <v>92</v>
      </c>
      <c r="E13" s="241"/>
      <c r="F13" s="651" t="s">
        <v>361</v>
      </c>
      <c r="G13" s="652"/>
      <c r="H13" s="241"/>
      <c r="I13" s="653" t="s">
        <v>370</v>
      </c>
      <c r="J13" s="241"/>
      <c r="K13" s="654" t="s">
        <v>364</v>
      </c>
      <c r="L13" s="654" t="s">
        <v>371</v>
      </c>
      <c r="M13" s="654" t="s">
        <v>372</v>
      </c>
      <c r="N13" s="653" t="s">
        <v>93</v>
      </c>
      <c r="O13" s="241"/>
      <c r="P13" s="653" t="s">
        <v>94</v>
      </c>
      <c r="Q13" s="242"/>
      <c r="R13" s="240"/>
      <c r="S13" s="648" t="s">
        <v>365</v>
      </c>
      <c r="T13" s="648"/>
      <c r="U13" s="649">
        <f>+U11-U12</f>
        <v>5.245208740234375E-6</v>
      </c>
      <c r="V13" s="648"/>
    </row>
    <row r="14" spans="1:22" ht="18.75" customHeight="1" x14ac:dyDescent="0.2">
      <c r="A14" s="241"/>
      <c r="B14" s="650"/>
      <c r="C14" s="650"/>
      <c r="D14" s="629"/>
      <c r="E14" s="243"/>
      <c r="F14" s="352" t="s">
        <v>362</v>
      </c>
      <c r="G14" s="352" t="s">
        <v>363</v>
      </c>
      <c r="H14" s="241"/>
      <c r="I14" s="653"/>
      <c r="J14" s="241"/>
      <c r="K14" s="655"/>
      <c r="L14" s="655"/>
      <c r="M14" s="655"/>
      <c r="N14" s="653"/>
      <c r="O14" s="241"/>
      <c r="P14" s="653"/>
      <c r="Q14" s="242"/>
      <c r="R14" s="240"/>
      <c r="S14" s="656" t="s">
        <v>94</v>
      </c>
      <c r="T14" s="157"/>
      <c r="U14" s="157"/>
      <c r="V14" s="157"/>
    </row>
    <row r="15" spans="1:22" s="19" customFormat="1" ht="18.75" customHeight="1" x14ac:dyDescent="0.2">
      <c r="A15" s="16"/>
      <c r="B15" s="16"/>
      <c r="C15" s="16"/>
      <c r="D15" s="16"/>
      <c r="E15" s="16"/>
      <c r="F15" s="17"/>
      <c r="G15" s="17"/>
      <c r="H15" s="16"/>
      <c r="I15" s="17"/>
      <c r="J15" s="16"/>
      <c r="K15" s="16"/>
      <c r="L15" s="16"/>
      <c r="M15" s="16"/>
      <c r="N15" s="17"/>
      <c r="O15" s="16"/>
      <c r="P15" s="17"/>
      <c r="Q15" s="18"/>
      <c r="R15" s="240"/>
      <c r="S15" s="657"/>
      <c r="T15" s="157"/>
      <c r="U15" s="157"/>
      <c r="V15" s="157"/>
    </row>
    <row r="16" spans="1:22" s="19" customFormat="1" ht="18.75" customHeight="1" x14ac:dyDescent="0.2">
      <c r="A16" s="16"/>
      <c r="B16" s="16"/>
      <c r="C16" s="20" t="s">
        <v>373</v>
      </c>
      <c r="D16" s="16" t="s">
        <v>151</v>
      </c>
      <c r="E16" s="16" t="s">
        <v>4</v>
      </c>
      <c r="F16" s="221">
        <v>1</v>
      </c>
      <c r="G16" s="222">
        <v>0</v>
      </c>
      <c r="H16" s="16"/>
      <c r="I16" s="220" t="s">
        <v>374</v>
      </c>
      <c r="J16" s="16"/>
      <c r="K16" s="244">
        <v>11092.6</v>
      </c>
      <c r="L16" s="217">
        <f>+K16*F16</f>
        <v>11092.6</v>
      </c>
      <c r="M16" s="217">
        <v>9974.9700000000012</v>
      </c>
      <c r="N16" s="117">
        <f>+L16</f>
        <v>11092.6</v>
      </c>
      <c r="O16" s="16"/>
      <c r="P16" s="17">
        <f t="shared" ref="P16:P79" si="0">(+$U$11-$N$472)*R16</f>
        <v>523743.73154186644</v>
      </c>
      <c r="Q16" s="18"/>
      <c r="R16" s="240">
        <f>+S16/$S$472</f>
        <v>1.8903341155250723E-4</v>
      </c>
      <c r="S16" s="245">
        <f>+L16+M16</f>
        <v>21067.57</v>
      </c>
      <c r="T16" s="157"/>
      <c r="U16" s="157"/>
      <c r="V16" s="246">
        <f>+N16+P16</f>
        <v>534836.33154186641</v>
      </c>
    </row>
    <row r="17" spans="1:22" s="19" customFormat="1" ht="18.75" customHeight="1" x14ac:dyDescent="0.2">
      <c r="A17" s="16"/>
      <c r="B17" s="16"/>
      <c r="C17" s="20" t="s">
        <v>373</v>
      </c>
      <c r="D17" s="16" t="s">
        <v>151</v>
      </c>
      <c r="E17" s="16" t="s">
        <v>4</v>
      </c>
      <c r="F17" s="221">
        <v>7</v>
      </c>
      <c r="G17" s="222">
        <v>0</v>
      </c>
      <c r="H17" s="16"/>
      <c r="I17" s="220" t="s">
        <v>375</v>
      </c>
      <c r="J17" s="16"/>
      <c r="K17" s="244">
        <v>13469.6</v>
      </c>
      <c r="L17" s="217">
        <f t="shared" ref="L17:L80" si="1">+K17*F17</f>
        <v>94287.2</v>
      </c>
      <c r="M17" s="217">
        <v>9974.9700000000012</v>
      </c>
      <c r="N17" s="117">
        <f t="shared" ref="N17:N80" si="2">+L17</f>
        <v>94287.2</v>
      </c>
      <c r="O17" s="16"/>
      <c r="P17" s="17">
        <f t="shared" si="0"/>
        <v>2591977.0516700521</v>
      </c>
      <c r="Q17" s="18"/>
      <c r="R17" s="240">
        <f t="shared" ref="R17:R80" si="3">+S17/$S$472</f>
        <v>9.3551528206468394E-4</v>
      </c>
      <c r="S17" s="223">
        <f>+L17+M17</f>
        <v>104262.17</v>
      </c>
      <c r="T17" s="157"/>
      <c r="U17" s="157"/>
      <c r="V17" s="246">
        <f t="shared" ref="V17:V80" si="4">+N17+P17</f>
        <v>2686264.2516700523</v>
      </c>
    </row>
    <row r="18" spans="1:22" s="19" customFormat="1" ht="18.75" customHeight="1" x14ac:dyDescent="0.2">
      <c r="A18" s="16"/>
      <c r="B18" s="16"/>
      <c r="C18" s="20" t="s">
        <v>373</v>
      </c>
      <c r="D18" s="19" t="s">
        <v>151</v>
      </c>
      <c r="E18" s="16" t="s">
        <v>4</v>
      </c>
      <c r="F18" s="221">
        <v>4</v>
      </c>
      <c r="G18" s="221">
        <v>0</v>
      </c>
      <c r="I18" s="220" t="s">
        <v>376</v>
      </c>
      <c r="K18" s="247">
        <v>16195.6</v>
      </c>
      <c r="L18" s="217">
        <f t="shared" si="1"/>
        <v>64782.400000000001</v>
      </c>
      <c r="M18" s="217">
        <v>9974.9700000000012</v>
      </c>
      <c r="N18" s="117">
        <f t="shared" si="2"/>
        <v>64782.400000000001</v>
      </c>
      <c r="P18" s="17">
        <f t="shared" si="0"/>
        <v>1858482.2038828388</v>
      </c>
      <c r="Q18" s="18"/>
      <c r="R18" s="240">
        <f t="shared" si="3"/>
        <v>6.7077696619937928E-4</v>
      </c>
      <c r="S18" s="223">
        <f t="shared" ref="S18:S81" si="5">+L18+M18</f>
        <v>74757.37</v>
      </c>
      <c r="T18" s="157"/>
      <c r="U18" s="157"/>
      <c r="V18" s="246">
        <f t="shared" si="4"/>
        <v>1923264.6038828387</v>
      </c>
    </row>
    <row r="19" spans="1:22" s="19" customFormat="1" ht="18.75" customHeight="1" x14ac:dyDescent="0.2">
      <c r="A19" s="16"/>
      <c r="B19" s="16"/>
      <c r="C19" s="20" t="s">
        <v>373</v>
      </c>
      <c r="D19" s="19" t="s">
        <v>151</v>
      </c>
      <c r="E19" s="16" t="s">
        <v>4</v>
      </c>
      <c r="F19" s="221">
        <v>11</v>
      </c>
      <c r="G19" s="221">
        <v>0</v>
      </c>
      <c r="I19" s="220" t="s">
        <v>377</v>
      </c>
      <c r="K19" s="247">
        <v>19280.45</v>
      </c>
      <c r="L19" s="217">
        <f t="shared" si="1"/>
        <v>212084.95</v>
      </c>
      <c r="M19" s="217">
        <v>9974.9700000000012</v>
      </c>
      <c r="N19" s="117">
        <f t="shared" si="2"/>
        <v>212084.95</v>
      </c>
      <c r="P19" s="17">
        <f t="shared" si="0"/>
        <v>5520451.1543898201</v>
      </c>
      <c r="Q19" s="18"/>
      <c r="R19" s="240">
        <f t="shared" si="3"/>
        <v>1.9924815366307949E-3</v>
      </c>
      <c r="S19" s="223">
        <f t="shared" si="5"/>
        <v>222059.92</v>
      </c>
      <c r="T19" s="157"/>
      <c r="U19" s="157"/>
      <c r="V19" s="246">
        <f t="shared" si="4"/>
        <v>5732536.1043898202</v>
      </c>
    </row>
    <row r="20" spans="1:22" s="19" customFormat="1" ht="18.75" customHeight="1" x14ac:dyDescent="0.2">
      <c r="A20" s="16"/>
      <c r="B20" s="16"/>
      <c r="C20" s="20" t="s">
        <v>373</v>
      </c>
      <c r="D20" s="19" t="s">
        <v>151</v>
      </c>
      <c r="E20" s="16" t="s">
        <v>4</v>
      </c>
      <c r="F20" s="221">
        <v>4</v>
      </c>
      <c r="G20" s="221">
        <v>0</v>
      </c>
      <c r="I20" s="220" t="s">
        <v>378</v>
      </c>
      <c r="K20" s="247">
        <v>22493.85</v>
      </c>
      <c r="L20" s="217">
        <f t="shared" si="1"/>
        <v>89975.4</v>
      </c>
      <c r="M20" s="217">
        <v>9974.9700000000012</v>
      </c>
      <c r="N20" s="117">
        <f t="shared" si="2"/>
        <v>89975.4</v>
      </c>
      <c r="P20" s="17">
        <f t="shared" si="0"/>
        <v>2484784.8970142365</v>
      </c>
      <c r="Q20" s="18"/>
      <c r="R20" s="240">
        <f t="shared" si="3"/>
        <v>8.9682670697357938E-4</v>
      </c>
      <c r="S20" s="223">
        <f t="shared" si="5"/>
        <v>99950.37</v>
      </c>
      <c r="T20" s="157"/>
      <c r="U20" s="157"/>
      <c r="V20" s="246">
        <f t="shared" si="4"/>
        <v>2574760.2970142365</v>
      </c>
    </row>
    <row r="21" spans="1:22" s="19" customFormat="1" ht="18.75" customHeight="1" x14ac:dyDescent="0.2">
      <c r="A21" s="16"/>
      <c r="B21" s="16"/>
      <c r="C21" s="20" t="s">
        <v>373</v>
      </c>
      <c r="D21" s="19" t="s">
        <v>151</v>
      </c>
      <c r="E21" s="16" t="s">
        <v>4</v>
      </c>
      <c r="F21" s="221">
        <v>2</v>
      </c>
      <c r="G21" s="221">
        <v>0</v>
      </c>
      <c r="I21" s="220" t="s">
        <v>379</v>
      </c>
      <c r="K21" s="247">
        <v>26242.9</v>
      </c>
      <c r="L21" s="217">
        <f t="shared" si="1"/>
        <v>52485.8</v>
      </c>
      <c r="M21" s="217">
        <v>9974.9700000000012</v>
      </c>
      <c r="N21" s="117">
        <f t="shared" si="2"/>
        <v>52485.8</v>
      </c>
      <c r="P21" s="17">
        <f t="shared" si="0"/>
        <v>1552786.4274227296</v>
      </c>
      <c r="Q21" s="18"/>
      <c r="R21" s="240">
        <f t="shared" si="3"/>
        <v>5.6044301460949221E-4</v>
      </c>
      <c r="S21" s="223">
        <f t="shared" si="5"/>
        <v>62460.770000000004</v>
      </c>
      <c r="T21" s="157"/>
      <c r="U21" s="157"/>
      <c r="V21" s="246">
        <f t="shared" si="4"/>
        <v>1605272.2274227296</v>
      </c>
    </row>
    <row r="22" spans="1:22" s="19" customFormat="1" ht="18.75" customHeight="1" x14ac:dyDescent="0.2">
      <c r="A22" s="16"/>
      <c r="B22" s="16"/>
      <c r="C22" s="20" t="s">
        <v>380</v>
      </c>
      <c r="D22" s="19" t="s">
        <v>152</v>
      </c>
      <c r="E22" s="16" t="s">
        <v>4</v>
      </c>
      <c r="F22" s="221">
        <v>3</v>
      </c>
      <c r="G22" s="221">
        <v>0</v>
      </c>
      <c r="I22" s="220" t="s">
        <v>377</v>
      </c>
      <c r="K22" s="247">
        <v>21421.4</v>
      </c>
      <c r="L22" s="217">
        <f t="shared" si="1"/>
        <v>64264.200000000004</v>
      </c>
      <c r="M22" s="217">
        <v>10028.700000000001</v>
      </c>
      <c r="N22" s="117">
        <f t="shared" si="2"/>
        <v>64264.200000000004</v>
      </c>
      <c r="P22" s="17">
        <f t="shared" si="0"/>
        <v>1846935.3927893315</v>
      </c>
      <c r="Q22" s="18"/>
      <c r="R22" s="240">
        <f t="shared" si="3"/>
        <v>6.6660940683378614E-4</v>
      </c>
      <c r="S22" s="223">
        <f t="shared" si="5"/>
        <v>74292.900000000009</v>
      </c>
      <c r="T22" s="157"/>
      <c r="U22" s="157"/>
      <c r="V22" s="246">
        <f t="shared" si="4"/>
        <v>1911199.5927893315</v>
      </c>
    </row>
    <row r="23" spans="1:22" s="19" customFormat="1" ht="18.75" customHeight="1" x14ac:dyDescent="0.2">
      <c r="A23" s="16"/>
      <c r="B23" s="16"/>
      <c r="C23" s="20" t="s">
        <v>380</v>
      </c>
      <c r="D23" s="19" t="s">
        <v>152</v>
      </c>
      <c r="E23" s="16" t="s">
        <v>4</v>
      </c>
      <c r="F23" s="221">
        <v>2</v>
      </c>
      <c r="G23" s="221">
        <v>0</v>
      </c>
      <c r="I23" s="220" t="s">
        <v>378</v>
      </c>
      <c r="K23" s="247">
        <v>24991.65</v>
      </c>
      <c r="L23" s="217">
        <f t="shared" si="1"/>
        <v>49983.3</v>
      </c>
      <c r="M23" s="217">
        <v>10028.700000000001</v>
      </c>
      <c r="N23" s="117">
        <f t="shared" si="2"/>
        <v>49983.3</v>
      </c>
      <c r="P23" s="17">
        <f t="shared" si="0"/>
        <v>1491909.5471044118</v>
      </c>
      <c r="Q23" s="18"/>
      <c r="R23" s="240">
        <f t="shared" si="3"/>
        <v>5.3847088648994947E-4</v>
      </c>
      <c r="S23" s="223">
        <f t="shared" si="5"/>
        <v>60012</v>
      </c>
      <c r="T23" s="157"/>
      <c r="U23" s="157"/>
      <c r="V23" s="246">
        <f t="shared" si="4"/>
        <v>1541892.8471044118</v>
      </c>
    </row>
    <row r="24" spans="1:22" s="19" customFormat="1" ht="18.75" customHeight="1" x14ac:dyDescent="0.2">
      <c r="A24" s="16"/>
      <c r="B24" s="16"/>
      <c r="C24" s="20" t="s">
        <v>381</v>
      </c>
      <c r="D24" s="19" t="s">
        <v>153</v>
      </c>
      <c r="E24" s="16" t="s">
        <v>4</v>
      </c>
      <c r="F24" s="221">
        <v>7</v>
      </c>
      <c r="G24" s="221">
        <v>0</v>
      </c>
      <c r="I24" s="220" t="s">
        <v>374</v>
      </c>
      <c r="K24" s="247">
        <v>6111.35</v>
      </c>
      <c r="L24" s="217">
        <f t="shared" si="1"/>
        <v>42779.450000000004</v>
      </c>
      <c r="M24" s="217">
        <v>4762.3200000000006</v>
      </c>
      <c r="N24" s="117">
        <f t="shared" si="2"/>
        <v>42779.450000000004</v>
      </c>
      <c r="P24" s="17">
        <f t="shared" si="0"/>
        <v>1181897.2963614296</v>
      </c>
      <c r="Q24" s="18"/>
      <c r="R24" s="240">
        <f t="shared" si="3"/>
        <v>4.2657900148639083E-4</v>
      </c>
      <c r="S24" s="223">
        <f t="shared" si="5"/>
        <v>47541.770000000004</v>
      </c>
      <c r="T24" s="157"/>
      <c r="U24" s="157"/>
      <c r="V24" s="246">
        <f t="shared" si="4"/>
        <v>1224676.7463614296</v>
      </c>
    </row>
    <row r="25" spans="1:22" s="19" customFormat="1" ht="18.75" customHeight="1" x14ac:dyDescent="0.2">
      <c r="A25" s="16"/>
      <c r="B25" s="16"/>
      <c r="C25" s="20" t="s">
        <v>381</v>
      </c>
      <c r="D25" s="19" t="s">
        <v>153</v>
      </c>
      <c r="E25" s="16" t="s">
        <v>4</v>
      </c>
      <c r="F25" s="221">
        <v>51</v>
      </c>
      <c r="G25" s="221">
        <v>0</v>
      </c>
      <c r="I25" s="220" t="s">
        <v>375</v>
      </c>
      <c r="K25" s="247">
        <v>8311.5</v>
      </c>
      <c r="L25" s="217">
        <f t="shared" si="1"/>
        <v>423886.5</v>
      </c>
      <c r="M25" s="217">
        <v>4762.3200000000006</v>
      </c>
      <c r="N25" s="117">
        <f t="shared" si="2"/>
        <v>423886.5</v>
      </c>
      <c r="P25" s="17">
        <f t="shared" si="0"/>
        <v>10656289.857245892</v>
      </c>
      <c r="Q25" s="18"/>
      <c r="R25" s="240">
        <f t="shared" si="3"/>
        <v>3.8461459391166898E-3</v>
      </c>
      <c r="S25" s="223">
        <f t="shared" si="5"/>
        <v>428648.82</v>
      </c>
      <c r="T25" s="157"/>
      <c r="U25" s="157"/>
      <c r="V25" s="246">
        <f t="shared" si="4"/>
        <v>11080176.357245892</v>
      </c>
    </row>
    <row r="26" spans="1:22" s="19" customFormat="1" ht="18.75" customHeight="1" x14ac:dyDescent="0.2">
      <c r="A26" s="16"/>
      <c r="B26" s="16"/>
      <c r="C26" s="20" t="s">
        <v>381</v>
      </c>
      <c r="D26" s="19" t="s">
        <v>153</v>
      </c>
      <c r="E26" s="16" t="s">
        <v>4</v>
      </c>
      <c r="F26" s="221">
        <v>21</v>
      </c>
      <c r="G26" s="221">
        <v>0</v>
      </c>
      <c r="I26" s="220" t="s">
        <v>376</v>
      </c>
      <c r="K26" s="247">
        <v>11137.35</v>
      </c>
      <c r="L26" s="217">
        <f t="shared" si="1"/>
        <v>233884.35</v>
      </c>
      <c r="M26" s="217">
        <v>4762.3200000000006</v>
      </c>
      <c r="N26" s="117">
        <f t="shared" si="2"/>
        <v>233884.35</v>
      </c>
      <c r="P26" s="17">
        <f t="shared" si="0"/>
        <v>5932800.8624554425</v>
      </c>
      <c r="Q26" s="18"/>
      <c r="R26" s="240">
        <f t="shared" si="3"/>
        <v>2.1413098039187901E-3</v>
      </c>
      <c r="S26" s="223">
        <f t="shared" si="5"/>
        <v>238646.67</v>
      </c>
      <c r="T26" s="157"/>
      <c r="U26" s="157"/>
      <c r="V26" s="246">
        <f t="shared" si="4"/>
        <v>6166685.2124554422</v>
      </c>
    </row>
    <row r="27" spans="1:22" s="19" customFormat="1" ht="18.75" customHeight="1" x14ac:dyDescent="0.2">
      <c r="A27" s="16"/>
      <c r="B27" s="16"/>
      <c r="C27" s="20" t="s">
        <v>381</v>
      </c>
      <c r="D27" s="19" t="s">
        <v>153</v>
      </c>
      <c r="E27" s="16" t="s">
        <v>4</v>
      </c>
      <c r="F27" s="221">
        <v>3</v>
      </c>
      <c r="G27" s="221">
        <v>0</v>
      </c>
      <c r="I27" s="220" t="s">
        <v>382</v>
      </c>
      <c r="K27" s="247">
        <v>12919.3</v>
      </c>
      <c r="L27" s="217">
        <f t="shared" si="1"/>
        <v>38757.899999999994</v>
      </c>
      <c r="M27" s="217">
        <v>4762.3200000000006</v>
      </c>
      <c r="N27" s="117">
        <f t="shared" si="2"/>
        <v>38757.899999999994</v>
      </c>
      <c r="P27" s="17">
        <f t="shared" si="0"/>
        <v>1081920.8110058713</v>
      </c>
      <c r="Q27" s="18"/>
      <c r="R27" s="240">
        <f t="shared" si="3"/>
        <v>3.9049475844227195E-4</v>
      </c>
      <c r="S27" s="223">
        <f t="shared" si="5"/>
        <v>43520.219999999994</v>
      </c>
      <c r="T27" s="157"/>
      <c r="U27" s="157"/>
      <c r="V27" s="246">
        <f t="shared" si="4"/>
        <v>1120678.7110058712</v>
      </c>
    </row>
    <row r="28" spans="1:22" s="19" customFormat="1" ht="18.75" customHeight="1" x14ac:dyDescent="0.2">
      <c r="A28" s="16"/>
      <c r="B28" s="16"/>
      <c r="C28" s="20" t="s">
        <v>381</v>
      </c>
      <c r="D28" s="19" t="s">
        <v>153</v>
      </c>
      <c r="E28" s="16" t="s">
        <v>4</v>
      </c>
      <c r="F28" s="221">
        <v>16</v>
      </c>
      <c r="G28" s="221">
        <v>0</v>
      </c>
      <c r="I28" s="220" t="s">
        <v>377</v>
      </c>
      <c r="K28" s="247">
        <v>14701.3</v>
      </c>
      <c r="L28" s="217">
        <f t="shared" si="1"/>
        <v>235220.8</v>
      </c>
      <c r="M28" s="217">
        <v>4762.3200000000006</v>
      </c>
      <c r="N28" s="117">
        <f t="shared" si="2"/>
        <v>235220.8</v>
      </c>
      <c r="P28" s="17">
        <f t="shared" si="0"/>
        <v>5966025.2594798319</v>
      </c>
      <c r="Q28" s="18"/>
      <c r="R28" s="240">
        <f t="shared" si="3"/>
        <v>2.1533013958712245E-3</v>
      </c>
      <c r="S28" s="223">
        <f t="shared" si="5"/>
        <v>239983.12</v>
      </c>
      <c r="T28" s="157"/>
      <c r="U28" s="157"/>
      <c r="V28" s="246">
        <f t="shared" si="4"/>
        <v>6201246.0594798317</v>
      </c>
    </row>
    <row r="29" spans="1:22" s="19" customFormat="1" ht="18.75" customHeight="1" x14ac:dyDescent="0.2">
      <c r="A29" s="16"/>
      <c r="B29" s="16"/>
      <c r="C29" s="20" t="s">
        <v>381</v>
      </c>
      <c r="D29" s="19" t="s">
        <v>153</v>
      </c>
      <c r="E29" s="16" t="s">
        <v>4</v>
      </c>
      <c r="F29" s="221">
        <v>4</v>
      </c>
      <c r="G29" s="221">
        <v>0</v>
      </c>
      <c r="I29" s="220" t="s">
        <v>378</v>
      </c>
      <c r="K29" s="247">
        <v>18817.7</v>
      </c>
      <c r="L29" s="217">
        <f t="shared" si="1"/>
        <v>75270.8</v>
      </c>
      <c r="M29" s="217">
        <v>4762.3200000000006</v>
      </c>
      <c r="N29" s="117">
        <f t="shared" si="2"/>
        <v>75270.8</v>
      </c>
      <c r="P29" s="17">
        <f t="shared" si="0"/>
        <v>1989638.3358753759</v>
      </c>
      <c r="Q29" s="18"/>
      <c r="R29" s="240">
        <f t="shared" si="3"/>
        <v>7.1811479495695048E-4</v>
      </c>
      <c r="S29" s="223">
        <f t="shared" si="5"/>
        <v>80033.12000000001</v>
      </c>
      <c r="T29" s="157"/>
      <c r="U29" s="157"/>
      <c r="V29" s="246">
        <f t="shared" si="4"/>
        <v>2064909.1358753759</v>
      </c>
    </row>
    <row r="30" spans="1:22" s="19" customFormat="1" ht="18.75" customHeight="1" x14ac:dyDescent="0.2">
      <c r="A30" s="16"/>
      <c r="B30" s="16"/>
      <c r="C30" s="20" t="s">
        <v>381</v>
      </c>
      <c r="D30" s="19" t="s">
        <v>153</v>
      </c>
      <c r="E30" s="16" t="s">
        <v>4</v>
      </c>
      <c r="F30" s="221">
        <v>5</v>
      </c>
      <c r="G30" s="221">
        <v>0</v>
      </c>
      <c r="I30" s="220" t="s">
        <v>379</v>
      </c>
      <c r="K30" s="247">
        <v>24086.65</v>
      </c>
      <c r="L30" s="217">
        <f t="shared" si="1"/>
        <v>120433.25</v>
      </c>
      <c r="M30" s="217">
        <v>4762.3200000000006</v>
      </c>
      <c r="N30" s="117">
        <f t="shared" si="2"/>
        <v>120433.25</v>
      </c>
      <c r="P30" s="17">
        <f t="shared" si="0"/>
        <v>3112385.2919112626</v>
      </c>
      <c r="Q30" s="18"/>
      <c r="R30" s="240">
        <f t="shared" si="3"/>
        <v>1.1233448237438267E-3</v>
      </c>
      <c r="S30" s="223">
        <f t="shared" si="5"/>
        <v>125195.57</v>
      </c>
      <c r="T30" s="157"/>
      <c r="U30" s="157"/>
      <c r="V30" s="246">
        <f t="shared" si="4"/>
        <v>3232818.5419112626</v>
      </c>
    </row>
    <row r="31" spans="1:22" s="19" customFormat="1" ht="18.75" customHeight="1" x14ac:dyDescent="0.2">
      <c r="A31" s="16"/>
      <c r="B31" s="16"/>
      <c r="C31" s="20" t="s">
        <v>383</v>
      </c>
      <c r="D31" s="19" t="s">
        <v>154</v>
      </c>
      <c r="E31" s="16" t="s">
        <v>4</v>
      </c>
      <c r="F31" s="221">
        <v>1</v>
      </c>
      <c r="G31" s="221">
        <v>0</v>
      </c>
      <c r="I31" s="220" t="s">
        <v>374</v>
      </c>
      <c r="K31" s="247">
        <v>9103.35</v>
      </c>
      <c r="L31" s="217">
        <f t="shared" si="1"/>
        <v>9103.35</v>
      </c>
      <c r="M31" s="217">
        <v>4431.1000000000004</v>
      </c>
      <c r="N31" s="117">
        <f t="shared" si="2"/>
        <v>9103.35</v>
      </c>
      <c r="P31" s="17">
        <f t="shared" si="0"/>
        <v>336468.95903831412</v>
      </c>
      <c r="Q31" s="18"/>
      <c r="R31" s="240">
        <f t="shared" si="3"/>
        <v>1.2144083332756611E-4</v>
      </c>
      <c r="S31" s="223">
        <f t="shared" si="5"/>
        <v>13534.45</v>
      </c>
      <c r="T31" s="157"/>
      <c r="U31" s="157"/>
      <c r="V31" s="246">
        <f t="shared" si="4"/>
        <v>345572.3090383141</v>
      </c>
    </row>
    <row r="32" spans="1:22" s="19" customFormat="1" ht="18.75" customHeight="1" x14ac:dyDescent="0.2">
      <c r="A32" s="16"/>
      <c r="B32" s="16"/>
      <c r="C32" s="20" t="s">
        <v>383</v>
      </c>
      <c r="D32" s="19" t="s">
        <v>154</v>
      </c>
      <c r="E32" s="16" t="s">
        <v>4</v>
      </c>
      <c r="F32" s="221">
        <v>6</v>
      </c>
      <c r="G32" s="221">
        <v>0</v>
      </c>
      <c r="I32" s="220" t="s">
        <v>375</v>
      </c>
      <c r="K32" s="247">
        <v>11379.15</v>
      </c>
      <c r="L32" s="217">
        <f t="shared" si="1"/>
        <v>68274.899999999994</v>
      </c>
      <c r="M32" s="217">
        <v>4431.1000000000004</v>
      </c>
      <c r="N32" s="117">
        <f t="shared" si="2"/>
        <v>68274.899999999994</v>
      </c>
      <c r="P32" s="17">
        <f t="shared" si="0"/>
        <v>1807484.7619105072</v>
      </c>
      <c r="Q32" s="18"/>
      <c r="R32" s="240">
        <f t="shared" si="3"/>
        <v>6.5237059709955122E-4</v>
      </c>
      <c r="S32" s="223">
        <f t="shared" si="5"/>
        <v>72706</v>
      </c>
      <c r="T32" s="157"/>
      <c r="U32" s="157"/>
      <c r="V32" s="246">
        <f t="shared" si="4"/>
        <v>1875759.6619105071</v>
      </c>
    </row>
    <row r="33" spans="1:22" s="19" customFormat="1" ht="18.75" customHeight="1" x14ac:dyDescent="0.2">
      <c r="A33" s="16"/>
      <c r="B33" s="16"/>
      <c r="C33" s="20" t="s">
        <v>383</v>
      </c>
      <c r="D33" s="19" t="s">
        <v>154</v>
      </c>
      <c r="E33" s="16" t="s">
        <v>4</v>
      </c>
      <c r="F33" s="221">
        <v>1</v>
      </c>
      <c r="G33" s="221">
        <v>0</v>
      </c>
      <c r="I33" s="220" t="s">
        <v>377</v>
      </c>
      <c r="K33" s="247">
        <v>17191.7</v>
      </c>
      <c r="L33" s="217">
        <f t="shared" si="1"/>
        <v>17191.7</v>
      </c>
      <c r="M33" s="217">
        <v>4431.1000000000004</v>
      </c>
      <c r="N33" s="117">
        <f t="shared" si="2"/>
        <v>17191.7</v>
      </c>
      <c r="P33" s="17">
        <f t="shared" si="0"/>
        <v>537546.85321484506</v>
      </c>
      <c r="Q33" s="18"/>
      <c r="R33" s="240">
        <f t="shared" si="3"/>
        <v>1.9401533500624677E-4</v>
      </c>
      <c r="S33" s="223">
        <f t="shared" si="5"/>
        <v>21622.800000000003</v>
      </c>
      <c r="T33" s="157"/>
      <c r="U33" s="157"/>
      <c r="V33" s="246">
        <f t="shared" si="4"/>
        <v>554738.55321484501</v>
      </c>
    </row>
    <row r="34" spans="1:22" s="19" customFormat="1" ht="18.75" customHeight="1" x14ac:dyDescent="0.2">
      <c r="A34" s="16"/>
      <c r="B34" s="16"/>
      <c r="C34" s="20" t="s">
        <v>384</v>
      </c>
      <c r="D34" s="19" t="s">
        <v>155</v>
      </c>
      <c r="E34" s="16" t="s">
        <v>4</v>
      </c>
      <c r="F34" s="221">
        <v>0</v>
      </c>
      <c r="G34" s="221">
        <v>580</v>
      </c>
      <c r="I34" s="220" t="s">
        <v>374</v>
      </c>
      <c r="K34" s="247">
        <v>216.6</v>
      </c>
      <c r="L34" s="217">
        <f>+K34*G34</f>
        <v>125628</v>
      </c>
      <c r="M34" s="217">
        <v>127.20000000000002</v>
      </c>
      <c r="N34" s="117">
        <f t="shared" si="2"/>
        <v>125628</v>
      </c>
      <c r="P34" s="17">
        <f t="shared" si="0"/>
        <v>3126297.7984073972</v>
      </c>
      <c r="Q34" s="18"/>
      <c r="R34" s="240">
        <f t="shared" si="3"/>
        <v>1.1283662271665816E-3</v>
      </c>
      <c r="S34" s="223">
        <f t="shared" si="5"/>
        <v>125755.2</v>
      </c>
      <c r="T34" s="157"/>
      <c r="U34" s="157"/>
      <c r="V34" s="246">
        <f t="shared" si="4"/>
        <v>3251925.7984073972</v>
      </c>
    </row>
    <row r="35" spans="1:22" s="19" customFormat="1" ht="18.75" customHeight="1" x14ac:dyDescent="0.2">
      <c r="A35" s="16"/>
      <c r="B35" s="16"/>
      <c r="C35" s="20" t="s">
        <v>384</v>
      </c>
      <c r="D35" s="19" t="s">
        <v>155</v>
      </c>
      <c r="E35" s="16" t="s">
        <v>4</v>
      </c>
      <c r="F35" s="221">
        <v>0</v>
      </c>
      <c r="G35" s="221">
        <v>14</v>
      </c>
      <c r="I35" s="220" t="s">
        <v>375</v>
      </c>
      <c r="K35" s="247">
        <v>294.45</v>
      </c>
      <c r="L35" s="217">
        <f>+K35*G35</f>
        <v>4122.3</v>
      </c>
      <c r="M35" s="217">
        <v>127.30000000000001</v>
      </c>
      <c r="N35" s="117">
        <f t="shared" si="2"/>
        <v>4122.3</v>
      </c>
      <c r="P35" s="17">
        <f t="shared" si="0"/>
        <v>105645.85101937794</v>
      </c>
      <c r="Q35" s="18"/>
      <c r="R35" s="240">
        <f t="shared" si="3"/>
        <v>3.813047189274961E-5</v>
      </c>
      <c r="S35" s="223">
        <f t="shared" si="5"/>
        <v>4249.6000000000004</v>
      </c>
      <c r="T35" s="157"/>
      <c r="U35" s="157"/>
      <c r="V35" s="246">
        <f t="shared" si="4"/>
        <v>109768.15101937794</v>
      </c>
    </row>
    <row r="36" spans="1:22" s="19" customFormat="1" ht="18.75" customHeight="1" x14ac:dyDescent="0.2">
      <c r="A36" s="16"/>
      <c r="B36" s="16"/>
      <c r="C36" s="20" t="s">
        <v>385</v>
      </c>
      <c r="D36" s="19" t="s">
        <v>156</v>
      </c>
      <c r="E36" s="16" t="s">
        <v>4</v>
      </c>
      <c r="F36" s="221">
        <v>568</v>
      </c>
      <c r="G36" s="221">
        <v>0</v>
      </c>
      <c r="I36" s="220" t="s">
        <v>374</v>
      </c>
      <c r="K36" s="247">
        <v>5268.4</v>
      </c>
      <c r="L36" s="217">
        <f t="shared" si="1"/>
        <v>2992451.1999999997</v>
      </c>
      <c r="M36" s="217">
        <v>2857.86</v>
      </c>
      <c r="N36" s="117">
        <f t="shared" si="2"/>
        <v>2992451.1999999997</v>
      </c>
      <c r="P36" s="17">
        <f t="shared" si="0"/>
        <v>74463943.596986279</v>
      </c>
      <c r="Q36" s="18"/>
      <c r="R36" s="240">
        <f t="shared" si="3"/>
        <v>2.6876070200119593E-2</v>
      </c>
      <c r="S36" s="223">
        <f t="shared" si="5"/>
        <v>2995309.0599999996</v>
      </c>
      <c r="T36" s="157"/>
      <c r="U36" s="157"/>
      <c r="V36" s="246">
        <f t="shared" si="4"/>
        <v>77456394.796986282</v>
      </c>
    </row>
    <row r="37" spans="1:22" s="19" customFormat="1" ht="18.75" customHeight="1" x14ac:dyDescent="0.2">
      <c r="A37" s="16"/>
      <c r="B37" s="16"/>
      <c r="C37" s="20" t="s">
        <v>385</v>
      </c>
      <c r="D37" s="19" t="s">
        <v>156</v>
      </c>
      <c r="E37" s="16" t="s">
        <v>4</v>
      </c>
      <c r="F37" s="221">
        <v>279</v>
      </c>
      <c r="G37" s="221">
        <v>0</v>
      </c>
      <c r="I37" s="220" t="s">
        <v>375</v>
      </c>
      <c r="K37" s="247">
        <v>7165.25</v>
      </c>
      <c r="L37" s="217">
        <f t="shared" si="1"/>
        <v>1999104.75</v>
      </c>
      <c r="M37" s="217">
        <v>2915.81</v>
      </c>
      <c r="N37" s="117">
        <f t="shared" si="2"/>
        <v>1999104.75</v>
      </c>
      <c r="P37" s="17">
        <f t="shared" si="0"/>
        <v>49770605.661589697</v>
      </c>
      <c r="Q37" s="18"/>
      <c r="R37" s="240">
        <f t="shared" si="3"/>
        <v>1.7963570381162187E-2</v>
      </c>
      <c r="S37" s="223">
        <f t="shared" si="5"/>
        <v>2002020.56</v>
      </c>
      <c r="T37" s="157"/>
      <c r="U37" s="157"/>
      <c r="V37" s="246">
        <f t="shared" si="4"/>
        <v>51769710.411589697</v>
      </c>
    </row>
    <row r="38" spans="1:22" s="19" customFormat="1" ht="18.75" customHeight="1" x14ac:dyDescent="0.2">
      <c r="A38" s="16"/>
      <c r="B38" s="16"/>
      <c r="C38" s="20" t="s">
        <v>385</v>
      </c>
      <c r="D38" s="19" t="s">
        <v>156</v>
      </c>
      <c r="E38" s="16" t="s">
        <v>4</v>
      </c>
      <c r="F38" s="221">
        <v>146</v>
      </c>
      <c r="G38" s="221">
        <v>0</v>
      </c>
      <c r="I38" s="220" t="s">
        <v>376</v>
      </c>
      <c r="K38" s="247">
        <v>9601.15</v>
      </c>
      <c r="L38" s="217">
        <f t="shared" si="1"/>
        <v>1401767.9</v>
      </c>
      <c r="M38" s="217">
        <v>2919.71</v>
      </c>
      <c r="N38" s="117">
        <f t="shared" si="2"/>
        <v>1401767.9</v>
      </c>
      <c r="P38" s="17">
        <f t="shared" si="0"/>
        <v>34920796.774949647</v>
      </c>
      <c r="Q38" s="18"/>
      <c r="R38" s="240">
        <f t="shared" si="3"/>
        <v>1.2603868936181902E-2</v>
      </c>
      <c r="S38" s="223">
        <f t="shared" si="5"/>
        <v>1404687.6099999999</v>
      </c>
      <c r="T38" s="157"/>
      <c r="U38" s="157"/>
      <c r="V38" s="246">
        <f t="shared" si="4"/>
        <v>36322564.674949646</v>
      </c>
    </row>
    <row r="39" spans="1:22" s="19" customFormat="1" ht="18.75" customHeight="1" x14ac:dyDescent="0.2">
      <c r="A39" s="16"/>
      <c r="B39" s="16"/>
      <c r="C39" s="20" t="s">
        <v>385</v>
      </c>
      <c r="D39" s="19" t="s">
        <v>156</v>
      </c>
      <c r="E39" s="16" t="s">
        <v>4</v>
      </c>
      <c r="F39" s="221">
        <v>1</v>
      </c>
      <c r="G39" s="221">
        <v>0</v>
      </c>
      <c r="I39" s="220" t="s">
        <v>382</v>
      </c>
      <c r="K39" s="247">
        <v>11137.55</v>
      </c>
      <c r="L39" s="217">
        <f t="shared" si="1"/>
        <v>11137.55</v>
      </c>
      <c r="M39" s="217">
        <v>3065.61</v>
      </c>
      <c r="N39" s="117">
        <f t="shared" si="2"/>
        <v>11137.55</v>
      </c>
      <c r="P39" s="17">
        <f t="shared" si="0"/>
        <v>353093.21474124334</v>
      </c>
      <c r="Q39" s="18"/>
      <c r="R39" s="240">
        <f t="shared" si="3"/>
        <v>1.2744098107309523E-4</v>
      </c>
      <c r="S39" s="223">
        <f t="shared" si="5"/>
        <v>14203.16</v>
      </c>
      <c r="T39" s="157"/>
      <c r="U39" s="157"/>
      <c r="V39" s="246">
        <f t="shared" si="4"/>
        <v>364230.76474124333</v>
      </c>
    </row>
    <row r="40" spans="1:22" s="19" customFormat="1" ht="18.75" customHeight="1" x14ac:dyDescent="0.2">
      <c r="A40" s="16"/>
      <c r="B40" s="16"/>
      <c r="C40" s="20" t="s">
        <v>385</v>
      </c>
      <c r="D40" s="19" t="s">
        <v>156</v>
      </c>
      <c r="E40" s="16" t="s">
        <v>4</v>
      </c>
      <c r="F40" s="221">
        <v>63</v>
      </c>
      <c r="G40" s="221">
        <v>0</v>
      </c>
      <c r="I40" s="220" t="s">
        <v>377</v>
      </c>
      <c r="K40" s="247">
        <v>12673.5</v>
      </c>
      <c r="L40" s="217">
        <f t="shared" si="1"/>
        <v>798430.5</v>
      </c>
      <c r="M40" s="217">
        <v>3068.06</v>
      </c>
      <c r="N40" s="117">
        <f t="shared" si="2"/>
        <v>798430.5</v>
      </c>
      <c r="P40" s="17">
        <f t="shared" si="0"/>
        <v>19925404.146744624</v>
      </c>
      <c r="Q40" s="18"/>
      <c r="R40" s="240">
        <f t="shared" si="3"/>
        <v>7.191622344258115E-3</v>
      </c>
      <c r="S40" s="223">
        <f t="shared" si="5"/>
        <v>801498.56</v>
      </c>
      <c r="T40" s="157"/>
      <c r="U40" s="157"/>
      <c r="V40" s="246">
        <f t="shared" si="4"/>
        <v>20723834.646744624</v>
      </c>
    </row>
    <row r="41" spans="1:22" s="19" customFormat="1" ht="18.75" customHeight="1" x14ac:dyDescent="0.2">
      <c r="A41" s="16"/>
      <c r="B41" s="16"/>
      <c r="C41" s="20" t="s">
        <v>385</v>
      </c>
      <c r="D41" s="19" t="s">
        <v>156</v>
      </c>
      <c r="E41" s="16" t="s">
        <v>4</v>
      </c>
      <c r="F41" s="221">
        <v>46</v>
      </c>
      <c r="G41" s="221">
        <v>0</v>
      </c>
      <c r="I41" s="220" t="s">
        <v>378</v>
      </c>
      <c r="K41" s="247">
        <v>16222.25</v>
      </c>
      <c r="L41" s="217">
        <f t="shared" si="1"/>
        <v>746223.5</v>
      </c>
      <c r="M41" s="217">
        <v>3073.71</v>
      </c>
      <c r="N41" s="117">
        <f t="shared" si="2"/>
        <v>746223.5</v>
      </c>
      <c r="P41" s="17">
        <f t="shared" si="0"/>
        <v>18627668.819864348</v>
      </c>
      <c r="Q41" s="18"/>
      <c r="R41" s="240">
        <f t="shared" si="3"/>
        <v>6.7232342350387556E-3</v>
      </c>
      <c r="S41" s="223">
        <f t="shared" si="5"/>
        <v>749297.21</v>
      </c>
      <c r="T41" s="157"/>
      <c r="U41" s="157"/>
      <c r="V41" s="246">
        <f t="shared" si="4"/>
        <v>19373892.319864348</v>
      </c>
    </row>
    <row r="42" spans="1:22" s="19" customFormat="1" ht="18.75" customHeight="1" x14ac:dyDescent="0.2">
      <c r="A42" s="16"/>
      <c r="B42" s="16"/>
      <c r="C42" s="20" t="s">
        <v>385</v>
      </c>
      <c r="D42" s="19" t="s">
        <v>156</v>
      </c>
      <c r="E42" s="16" t="s">
        <v>4</v>
      </c>
      <c r="F42" s="221">
        <v>16</v>
      </c>
      <c r="G42" s="221">
        <v>0</v>
      </c>
      <c r="I42" s="220" t="s">
        <v>379</v>
      </c>
      <c r="K42" s="247">
        <v>20764.349999999999</v>
      </c>
      <c r="L42" s="217">
        <f t="shared" si="1"/>
        <v>332229.59999999998</v>
      </c>
      <c r="M42" s="217">
        <v>3081.01</v>
      </c>
      <c r="N42" s="117">
        <f t="shared" si="2"/>
        <v>332229.59999999998</v>
      </c>
      <c r="P42" s="17">
        <f t="shared" si="0"/>
        <v>8335884.4948410988</v>
      </c>
      <c r="Q42" s="18"/>
      <c r="R42" s="240">
        <f t="shared" si="3"/>
        <v>3.0086482939443064E-3</v>
      </c>
      <c r="S42" s="223">
        <f t="shared" si="5"/>
        <v>335310.61</v>
      </c>
      <c r="T42" s="157"/>
      <c r="U42" s="157"/>
      <c r="V42" s="246">
        <f t="shared" si="4"/>
        <v>8668114.0948410984</v>
      </c>
    </row>
    <row r="43" spans="1:22" s="19" customFormat="1" ht="18.75" customHeight="1" x14ac:dyDescent="0.2">
      <c r="A43" s="16"/>
      <c r="B43" s="16"/>
      <c r="C43" s="20" t="s">
        <v>386</v>
      </c>
      <c r="D43" s="19" t="s">
        <v>157</v>
      </c>
      <c r="E43" s="16" t="s">
        <v>4</v>
      </c>
      <c r="F43" s="221">
        <v>0</v>
      </c>
      <c r="G43" s="221">
        <v>681</v>
      </c>
      <c r="I43" s="220" t="s">
        <v>374</v>
      </c>
      <c r="K43" s="247">
        <v>240.9</v>
      </c>
      <c r="L43" s="217">
        <f>+K43*G43</f>
        <v>164052.9</v>
      </c>
      <c r="M43" s="217">
        <v>128.71</v>
      </c>
      <c r="N43" s="117">
        <f t="shared" si="2"/>
        <v>164052.9</v>
      </c>
      <c r="P43" s="17">
        <f t="shared" si="0"/>
        <v>4081585.5398582467</v>
      </c>
      <c r="Q43" s="18"/>
      <c r="R43" s="240">
        <f t="shared" si="3"/>
        <v>1.4731556535700716E-3</v>
      </c>
      <c r="S43" s="223">
        <f t="shared" si="5"/>
        <v>164181.60999999999</v>
      </c>
      <c r="T43" s="157"/>
      <c r="U43" s="157"/>
      <c r="V43" s="246">
        <f t="shared" si="4"/>
        <v>4245638.4398582466</v>
      </c>
    </row>
    <row r="44" spans="1:22" s="19" customFormat="1" ht="18.75" customHeight="1" x14ac:dyDescent="0.2">
      <c r="A44" s="16"/>
      <c r="B44" s="16"/>
      <c r="C44" s="20" t="s">
        <v>386</v>
      </c>
      <c r="D44" s="19" t="s">
        <v>157</v>
      </c>
      <c r="E44" s="16" t="s">
        <v>4</v>
      </c>
      <c r="F44" s="221">
        <v>0</v>
      </c>
      <c r="G44" s="221">
        <v>11</v>
      </c>
      <c r="I44" s="220" t="s">
        <v>375</v>
      </c>
      <c r="K44" s="247">
        <v>327.39999999999998</v>
      </c>
      <c r="L44" s="217">
        <f>+K44*G44</f>
        <v>3601.3999999999996</v>
      </c>
      <c r="M44" s="217">
        <v>128.85999999999999</v>
      </c>
      <c r="N44" s="117">
        <f t="shared" si="2"/>
        <v>3601.3999999999996</v>
      </c>
      <c r="P44" s="17">
        <f t="shared" si="0"/>
        <v>92734.961460736231</v>
      </c>
      <c r="Q44" s="18"/>
      <c r="R44" s="240">
        <f t="shared" si="3"/>
        <v>3.3470579368093028E-5</v>
      </c>
      <c r="S44" s="223">
        <f t="shared" si="5"/>
        <v>3730.2599999999998</v>
      </c>
      <c r="T44" s="157"/>
      <c r="U44" s="157"/>
      <c r="V44" s="246">
        <f t="shared" si="4"/>
        <v>96336.361460736225</v>
      </c>
    </row>
    <row r="45" spans="1:22" s="19" customFormat="1" ht="18.75" customHeight="1" x14ac:dyDescent="0.2">
      <c r="A45" s="16"/>
      <c r="B45" s="16"/>
      <c r="C45" s="20" t="s">
        <v>387</v>
      </c>
      <c r="D45" s="19" t="s">
        <v>158</v>
      </c>
      <c r="E45" s="16" t="s">
        <v>4</v>
      </c>
      <c r="F45" s="221">
        <v>13</v>
      </c>
      <c r="G45" s="221">
        <v>0</v>
      </c>
      <c r="I45" s="220" t="s">
        <v>374</v>
      </c>
      <c r="K45" s="247">
        <v>7491.15</v>
      </c>
      <c r="L45" s="217">
        <f t="shared" si="1"/>
        <v>97384.95</v>
      </c>
      <c r="M45" s="217">
        <v>2938.94</v>
      </c>
      <c r="N45" s="117">
        <f t="shared" si="2"/>
        <v>97384.95</v>
      </c>
      <c r="P45" s="17">
        <f t="shared" si="0"/>
        <v>2494070.6740927286</v>
      </c>
      <c r="Q45" s="18"/>
      <c r="R45" s="240">
        <f t="shared" si="3"/>
        <v>9.0017819743418279E-4</v>
      </c>
      <c r="S45" s="223">
        <f t="shared" si="5"/>
        <v>100323.89</v>
      </c>
      <c r="T45" s="157"/>
      <c r="U45" s="157"/>
      <c r="V45" s="246">
        <f t="shared" si="4"/>
        <v>2591455.6240927288</v>
      </c>
    </row>
    <row r="46" spans="1:22" s="19" customFormat="1" ht="18.75" customHeight="1" x14ac:dyDescent="0.2">
      <c r="A46" s="16"/>
      <c r="B46" s="16"/>
      <c r="C46" s="20" t="s">
        <v>387</v>
      </c>
      <c r="D46" s="19" t="s">
        <v>158</v>
      </c>
      <c r="E46" s="16" t="s">
        <v>4</v>
      </c>
      <c r="F46" s="221">
        <v>15</v>
      </c>
      <c r="G46" s="221">
        <v>0</v>
      </c>
      <c r="I46" s="220" t="s">
        <v>375</v>
      </c>
      <c r="K46" s="247">
        <v>9364</v>
      </c>
      <c r="L46" s="217">
        <f t="shared" si="1"/>
        <v>140460</v>
      </c>
      <c r="M46" s="217">
        <v>2990.84</v>
      </c>
      <c r="N46" s="117">
        <f t="shared" si="2"/>
        <v>140460</v>
      </c>
      <c r="P46" s="17">
        <f t="shared" si="0"/>
        <v>3566214.7193252589</v>
      </c>
      <c r="Q46" s="18"/>
      <c r="R46" s="240">
        <f t="shared" si="3"/>
        <v>1.2871442541912935E-3</v>
      </c>
      <c r="S46" s="223">
        <f t="shared" si="5"/>
        <v>143450.84</v>
      </c>
      <c r="T46" s="157"/>
      <c r="U46" s="157"/>
      <c r="V46" s="246">
        <f t="shared" si="4"/>
        <v>3706674.7193252589</v>
      </c>
    </row>
    <row r="47" spans="1:22" s="19" customFormat="1" ht="18.75" customHeight="1" x14ac:dyDescent="0.2">
      <c r="A47" s="16"/>
      <c r="B47" s="16"/>
      <c r="C47" s="20" t="s">
        <v>387</v>
      </c>
      <c r="D47" s="19" t="s">
        <v>158</v>
      </c>
      <c r="E47" s="16" t="s">
        <v>4</v>
      </c>
      <c r="F47" s="221">
        <v>2</v>
      </c>
      <c r="G47" s="221">
        <v>0</v>
      </c>
      <c r="I47" s="220" t="s">
        <v>376</v>
      </c>
      <c r="K47" s="247">
        <v>12547.7</v>
      </c>
      <c r="L47" s="217">
        <f t="shared" si="1"/>
        <v>25095.4</v>
      </c>
      <c r="M47" s="217">
        <v>2995.9900000000002</v>
      </c>
      <c r="N47" s="117">
        <f t="shared" si="2"/>
        <v>25095.4</v>
      </c>
      <c r="P47" s="17">
        <f t="shared" si="0"/>
        <v>698357.2107650704</v>
      </c>
      <c r="Q47" s="18"/>
      <c r="R47" s="240">
        <f t="shared" si="3"/>
        <v>2.5205618336390892E-4</v>
      </c>
      <c r="S47" s="223">
        <f t="shared" si="5"/>
        <v>28091.390000000003</v>
      </c>
      <c r="T47" s="157"/>
      <c r="U47" s="157"/>
      <c r="V47" s="246">
        <f t="shared" si="4"/>
        <v>723452.61076507042</v>
      </c>
    </row>
    <row r="48" spans="1:22" s="19" customFormat="1" ht="18.75" customHeight="1" x14ac:dyDescent="0.2">
      <c r="A48" s="16"/>
      <c r="B48" s="16"/>
      <c r="C48" s="20" t="s">
        <v>387</v>
      </c>
      <c r="D48" s="19" t="s">
        <v>158</v>
      </c>
      <c r="E48" s="16" t="s">
        <v>4</v>
      </c>
      <c r="F48" s="221">
        <v>2</v>
      </c>
      <c r="G48" s="221">
        <v>0</v>
      </c>
      <c r="I48" s="220" t="s">
        <v>377</v>
      </c>
      <c r="K48" s="247">
        <v>16563.150000000001</v>
      </c>
      <c r="L48" s="217">
        <f t="shared" si="1"/>
        <v>33126.300000000003</v>
      </c>
      <c r="M48" s="217">
        <v>3002.4900000000002</v>
      </c>
      <c r="N48" s="117">
        <f t="shared" si="2"/>
        <v>33126.300000000003</v>
      </c>
      <c r="P48" s="17">
        <f t="shared" si="0"/>
        <v>898168.47840982466</v>
      </c>
      <c r="Q48" s="18"/>
      <c r="R48" s="240">
        <f t="shared" si="3"/>
        <v>3.2417352494683099E-4</v>
      </c>
      <c r="S48" s="223">
        <f t="shared" si="5"/>
        <v>36128.79</v>
      </c>
      <c r="T48" s="157"/>
      <c r="U48" s="157"/>
      <c r="V48" s="246">
        <f t="shared" si="4"/>
        <v>931294.77840982471</v>
      </c>
    </row>
    <row r="49" spans="1:22" s="19" customFormat="1" ht="18.75" customHeight="1" x14ac:dyDescent="0.2">
      <c r="A49" s="16"/>
      <c r="B49" s="16"/>
      <c r="C49" s="20" t="s">
        <v>388</v>
      </c>
      <c r="D49" s="19" t="s">
        <v>159</v>
      </c>
      <c r="E49" s="16" t="s">
        <v>4</v>
      </c>
      <c r="F49" s="221">
        <v>3</v>
      </c>
      <c r="G49" s="221">
        <v>0</v>
      </c>
      <c r="I49" s="220" t="s">
        <v>374</v>
      </c>
      <c r="K49" s="247">
        <v>6954.2</v>
      </c>
      <c r="L49" s="217">
        <f t="shared" si="1"/>
        <v>20862.599999999999</v>
      </c>
      <c r="M49" s="217">
        <v>2926.62</v>
      </c>
      <c r="N49" s="117">
        <f t="shared" si="2"/>
        <v>20862.599999999999</v>
      </c>
      <c r="P49" s="17">
        <f t="shared" si="0"/>
        <v>591404.45971084468</v>
      </c>
      <c r="Q49" s="18"/>
      <c r="R49" s="240">
        <f t="shared" si="3"/>
        <v>2.1345401556862684E-4</v>
      </c>
      <c r="S49" s="223">
        <f t="shared" si="5"/>
        <v>23789.219999999998</v>
      </c>
      <c r="T49" s="157"/>
      <c r="U49" s="157"/>
      <c r="V49" s="246">
        <f t="shared" si="4"/>
        <v>612267.05971084465</v>
      </c>
    </row>
    <row r="50" spans="1:22" s="19" customFormat="1" ht="18.75" customHeight="1" x14ac:dyDescent="0.2">
      <c r="A50" s="16"/>
      <c r="B50" s="16"/>
      <c r="C50" s="20" t="s">
        <v>389</v>
      </c>
      <c r="D50" s="19" t="s">
        <v>160</v>
      </c>
      <c r="E50" s="16" t="s">
        <v>4</v>
      </c>
      <c r="F50" s="221">
        <v>7</v>
      </c>
      <c r="G50" s="221">
        <v>0</v>
      </c>
      <c r="I50" s="220" t="s">
        <v>374</v>
      </c>
      <c r="K50" s="247">
        <v>11092.6</v>
      </c>
      <c r="L50" s="217">
        <f t="shared" si="1"/>
        <v>77648.2</v>
      </c>
      <c r="M50" s="217">
        <v>9974.9700000000012</v>
      </c>
      <c r="N50" s="117">
        <f t="shared" si="2"/>
        <v>77648.2</v>
      </c>
      <c r="P50" s="17">
        <f t="shared" si="0"/>
        <v>2178328.3988294485</v>
      </c>
      <c r="Q50" s="18"/>
      <c r="R50" s="240">
        <f t="shared" si="3"/>
        <v>7.8621819014463017E-4</v>
      </c>
      <c r="S50" s="223">
        <f t="shared" si="5"/>
        <v>87623.17</v>
      </c>
      <c r="T50" s="157"/>
      <c r="U50" s="157"/>
      <c r="V50" s="246">
        <f t="shared" si="4"/>
        <v>2255976.5988294487</v>
      </c>
    </row>
    <row r="51" spans="1:22" s="19" customFormat="1" ht="18.75" customHeight="1" x14ac:dyDescent="0.2">
      <c r="A51" s="16"/>
      <c r="B51" s="16"/>
      <c r="C51" s="20" t="s">
        <v>389</v>
      </c>
      <c r="D51" s="19" t="s">
        <v>160</v>
      </c>
      <c r="E51" s="16" t="s">
        <v>4</v>
      </c>
      <c r="F51" s="221">
        <v>12</v>
      </c>
      <c r="G51" s="221">
        <v>0</v>
      </c>
      <c r="I51" s="220" t="s">
        <v>375</v>
      </c>
      <c r="K51" s="247">
        <v>13469.6</v>
      </c>
      <c r="L51" s="217">
        <f t="shared" si="1"/>
        <v>161635.20000000001</v>
      </c>
      <c r="M51" s="217">
        <v>9974.9700000000012</v>
      </c>
      <c r="N51" s="117">
        <f t="shared" si="2"/>
        <v>161635.20000000001</v>
      </c>
      <c r="P51" s="17">
        <f t="shared" si="0"/>
        <v>4266260.9312006114</v>
      </c>
      <c r="Q51" s="18"/>
      <c r="R51" s="240">
        <f t="shared" si="3"/>
        <v>1.5398100441676821E-3</v>
      </c>
      <c r="S51" s="223">
        <f t="shared" si="5"/>
        <v>171610.17</v>
      </c>
      <c r="T51" s="157"/>
      <c r="U51" s="157"/>
      <c r="V51" s="246">
        <f t="shared" si="4"/>
        <v>4427896.1312006116</v>
      </c>
    </row>
    <row r="52" spans="1:22" s="19" customFormat="1" ht="18.75" customHeight="1" x14ac:dyDescent="0.2">
      <c r="A52" s="16"/>
      <c r="B52" s="16"/>
      <c r="C52" s="20" t="s">
        <v>389</v>
      </c>
      <c r="D52" s="19" t="s">
        <v>160</v>
      </c>
      <c r="E52" s="16" t="s">
        <v>4</v>
      </c>
      <c r="F52" s="221">
        <v>11</v>
      </c>
      <c r="G52" s="221">
        <v>0</v>
      </c>
      <c r="I52" s="220" t="s">
        <v>376</v>
      </c>
      <c r="K52" s="247">
        <v>16195.6</v>
      </c>
      <c r="L52" s="217">
        <f t="shared" si="1"/>
        <v>178151.6</v>
      </c>
      <c r="M52" s="217">
        <v>9974.9700000000012</v>
      </c>
      <c r="N52" s="117">
        <f t="shared" si="2"/>
        <v>178151.6</v>
      </c>
      <c r="P52" s="17">
        <f t="shared" si="0"/>
        <v>4676861.7251050863</v>
      </c>
      <c r="Q52" s="18"/>
      <c r="R52" s="240">
        <f t="shared" si="3"/>
        <v>1.6880070805874415E-3</v>
      </c>
      <c r="S52" s="223">
        <f t="shared" si="5"/>
        <v>188126.57</v>
      </c>
      <c r="T52" s="157"/>
      <c r="U52" s="157"/>
      <c r="V52" s="246">
        <f t="shared" si="4"/>
        <v>4855013.325105086</v>
      </c>
    </row>
    <row r="53" spans="1:22" s="19" customFormat="1" ht="18.75" hidden="1" customHeight="1" x14ac:dyDescent="0.2">
      <c r="A53" s="16"/>
      <c r="B53" s="16"/>
      <c r="C53" s="20" t="s">
        <v>389</v>
      </c>
      <c r="D53" s="19" t="s">
        <v>160</v>
      </c>
      <c r="E53" s="16" t="s">
        <v>4</v>
      </c>
      <c r="F53" s="221">
        <v>6</v>
      </c>
      <c r="G53" s="221">
        <v>0</v>
      </c>
      <c r="I53" s="220" t="s">
        <v>382</v>
      </c>
      <c r="K53" s="247">
        <v>17738.05</v>
      </c>
      <c r="L53" s="217">
        <f t="shared" si="1"/>
        <v>106428.29999999999</v>
      </c>
      <c r="M53" s="217">
        <v>9974.9700000000012</v>
      </c>
      <c r="N53" s="117">
        <f t="shared" si="2"/>
        <v>106428.29999999999</v>
      </c>
      <c r="P53" s="17">
        <f t="shared" si="0"/>
        <v>2893807.0690390682</v>
      </c>
      <c r="Q53" s="18"/>
      <c r="R53" s="240">
        <f t="shared" si="3"/>
        <v>1.0444539756586839E-3</v>
      </c>
      <c r="S53" s="223">
        <f t="shared" si="5"/>
        <v>116403.26999999999</v>
      </c>
      <c r="T53" s="157"/>
      <c r="U53" s="157"/>
      <c r="V53" s="246">
        <f t="shared" si="4"/>
        <v>3000235.369039068</v>
      </c>
    </row>
    <row r="54" spans="1:22" s="19" customFormat="1" ht="18.75" customHeight="1" x14ac:dyDescent="0.2">
      <c r="A54" s="16"/>
      <c r="B54" s="16"/>
      <c r="C54" s="20" t="s">
        <v>389</v>
      </c>
      <c r="D54" s="19" t="s">
        <v>160</v>
      </c>
      <c r="E54" s="16" t="s">
        <v>4</v>
      </c>
      <c r="F54" s="221">
        <v>12</v>
      </c>
      <c r="G54" s="221">
        <v>0</v>
      </c>
      <c r="I54" s="220" t="s">
        <v>377</v>
      </c>
      <c r="K54" s="247">
        <v>19280.45</v>
      </c>
      <c r="L54" s="217">
        <f t="shared" si="1"/>
        <v>231365.40000000002</v>
      </c>
      <c r="M54" s="217">
        <v>9974.9700000000012</v>
      </c>
      <c r="N54" s="117">
        <f t="shared" si="2"/>
        <v>231365.40000000002</v>
      </c>
      <c r="P54" s="17">
        <f t="shared" si="0"/>
        <v>5999766.7483955072</v>
      </c>
      <c r="Q54" s="18"/>
      <c r="R54" s="240">
        <f t="shared" si="3"/>
        <v>2.1654796204044592E-3</v>
      </c>
      <c r="S54" s="223">
        <f t="shared" si="5"/>
        <v>241340.37000000002</v>
      </c>
      <c r="T54" s="157"/>
      <c r="U54" s="157"/>
      <c r="V54" s="246">
        <f t="shared" si="4"/>
        <v>6231132.1483955076</v>
      </c>
    </row>
    <row r="55" spans="1:22" s="19" customFormat="1" ht="18.75" customHeight="1" x14ac:dyDescent="0.2">
      <c r="A55" s="16"/>
      <c r="B55" s="16"/>
      <c r="C55" s="20" t="s">
        <v>389</v>
      </c>
      <c r="D55" s="19" t="s">
        <v>160</v>
      </c>
      <c r="E55" s="16" t="s">
        <v>4</v>
      </c>
      <c r="F55" s="221">
        <v>5</v>
      </c>
      <c r="G55" s="221">
        <v>0</v>
      </c>
      <c r="I55" s="220" t="s">
        <v>378</v>
      </c>
      <c r="K55" s="247">
        <v>22493.85</v>
      </c>
      <c r="L55" s="217">
        <f t="shared" si="1"/>
        <v>112469.25</v>
      </c>
      <c r="M55" s="217">
        <v>9974.9700000000012</v>
      </c>
      <c r="N55" s="117">
        <f t="shared" si="2"/>
        <v>112469.25</v>
      </c>
      <c r="P55" s="17">
        <f t="shared" si="0"/>
        <v>3043986.2161859786</v>
      </c>
      <c r="Q55" s="18"/>
      <c r="R55" s="240">
        <f t="shared" si="3"/>
        <v>1.0986577299368526E-3</v>
      </c>
      <c r="S55" s="223">
        <f t="shared" si="5"/>
        <v>122444.22</v>
      </c>
      <c r="T55" s="157"/>
      <c r="U55" s="157"/>
      <c r="V55" s="246">
        <f t="shared" si="4"/>
        <v>3156455.4661859786</v>
      </c>
    </row>
    <row r="56" spans="1:22" s="19" customFormat="1" ht="18.75" customHeight="1" x14ac:dyDescent="0.2">
      <c r="A56" s="16"/>
      <c r="B56" s="16"/>
      <c r="C56" s="20" t="s">
        <v>389</v>
      </c>
      <c r="D56" s="19" t="s">
        <v>160</v>
      </c>
      <c r="E56" s="16" t="s">
        <v>4</v>
      </c>
      <c r="F56" s="221">
        <v>2</v>
      </c>
      <c r="G56" s="221">
        <v>0</v>
      </c>
      <c r="I56" s="220" t="s">
        <v>379</v>
      </c>
      <c r="K56" s="247">
        <v>26242.9</v>
      </c>
      <c r="L56" s="217">
        <f t="shared" si="1"/>
        <v>52485.8</v>
      </c>
      <c r="M56" s="217">
        <v>9974.9700000000012</v>
      </c>
      <c r="N56" s="117">
        <f t="shared" si="2"/>
        <v>52485.8</v>
      </c>
      <c r="P56" s="17">
        <f t="shared" si="0"/>
        <v>1552786.4274227296</v>
      </c>
      <c r="Q56" s="18"/>
      <c r="R56" s="240">
        <f t="shared" si="3"/>
        <v>5.6044301460949221E-4</v>
      </c>
      <c r="S56" s="223">
        <f t="shared" si="5"/>
        <v>62460.770000000004</v>
      </c>
      <c r="T56" s="157"/>
      <c r="U56" s="157"/>
      <c r="V56" s="246">
        <f t="shared" si="4"/>
        <v>1605272.2274227296</v>
      </c>
    </row>
    <row r="57" spans="1:22" s="19" customFormat="1" ht="18.75" customHeight="1" x14ac:dyDescent="0.2">
      <c r="A57" s="16"/>
      <c r="B57" s="16"/>
      <c r="C57" s="20" t="s">
        <v>390</v>
      </c>
      <c r="D57" s="19" t="s">
        <v>161</v>
      </c>
      <c r="E57" s="16" t="s">
        <v>4</v>
      </c>
      <c r="F57" s="221">
        <v>2</v>
      </c>
      <c r="G57" s="221">
        <v>0</v>
      </c>
      <c r="I57" s="220" t="s">
        <v>376</v>
      </c>
      <c r="K57" s="247">
        <v>17993.95</v>
      </c>
      <c r="L57" s="217">
        <f t="shared" si="1"/>
        <v>35987.9</v>
      </c>
      <c r="M57" s="217">
        <v>10028.700000000001</v>
      </c>
      <c r="N57" s="117">
        <f t="shared" si="2"/>
        <v>35987.9</v>
      </c>
      <c r="P57" s="17">
        <f t="shared" si="0"/>
        <v>1143981.284831115</v>
      </c>
      <c r="Q57" s="18"/>
      <c r="R57" s="240">
        <f t="shared" si="3"/>
        <v>4.1289407777200246E-4</v>
      </c>
      <c r="S57" s="223">
        <f t="shared" si="5"/>
        <v>46016.600000000006</v>
      </c>
      <c r="T57" s="157"/>
      <c r="U57" s="157"/>
      <c r="V57" s="246">
        <f t="shared" si="4"/>
        <v>1179969.184831115</v>
      </c>
    </row>
    <row r="58" spans="1:22" s="19" customFormat="1" ht="18.75" customHeight="1" x14ac:dyDescent="0.2">
      <c r="A58" s="16"/>
      <c r="B58" s="16"/>
      <c r="C58" s="20" t="s">
        <v>390</v>
      </c>
      <c r="D58" s="19" t="s">
        <v>161</v>
      </c>
      <c r="E58" s="16" t="s">
        <v>4</v>
      </c>
      <c r="F58" s="221">
        <v>3</v>
      </c>
      <c r="G58" s="221">
        <v>0</v>
      </c>
      <c r="I58" s="220" t="s">
        <v>377</v>
      </c>
      <c r="K58" s="247">
        <v>21421.4</v>
      </c>
      <c r="L58" s="217">
        <f t="shared" si="1"/>
        <v>64264.200000000004</v>
      </c>
      <c r="M58" s="217">
        <v>10028.700000000001</v>
      </c>
      <c r="N58" s="117">
        <f t="shared" si="2"/>
        <v>64264.200000000004</v>
      </c>
      <c r="P58" s="17">
        <f t="shared" si="0"/>
        <v>1846935.3927893315</v>
      </c>
      <c r="Q58" s="18"/>
      <c r="R58" s="240">
        <f t="shared" si="3"/>
        <v>6.6660940683378614E-4</v>
      </c>
      <c r="S58" s="223">
        <f t="shared" si="5"/>
        <v>74292.900000000009</v>
      </c>
      <c r="T58" s="157"/>
      <c r="U58" s="157"/>
      <c r="V58" s="246">
        <f t="shared" si="4"/>
        <v>1911199.5927893315</v>
      </c>
    </row>
    <row r="59" spans="1:22" s="19" customFormat="1" ht="18.75" customHeight="1" x14ac:dyDescent="0.2">
      <c r="A59" s="16"/>
      <c r="B59" s="16"/>
      <c r="C59" s="20" t="s">
        <v>390</v>
      </c>
      <c r="D59" s="19" t="s">
        <v>161</v>
      </c>
      <c r="E59" s="16" t="s">
        <v>4</v>
      </c>
      <c r="F59" s="221">
        <v>4</v>
      </c>
      <c r="G59" s="221">
        <v>0</v>
      </c>
      <c r="I59" s="220" t="s">
        <v>378</v>
      </c>
      <c r="K59" s="247">
        <v>24991.65</v>
      </c>
      <c r="L59" s="217">
        <f t="shared" si="1"/>
        <v>99966.6</v>
      </c>
      <c r="M59" s="217">
        <v>10028.700000000001</v>
      </c>
      <c r="N59" s="117">
        <f t="shared" si="2"/>
        <v>99966.6</v>
      </c>
      <c r="P59" s="17">
        <f t="shared" si="0"/>
        <v>2734503.7360296925</v>
      </c>
      <c r="Q59" s="18"/>
      <c r="R59" s="240">
        <f t="shared" si="3"/>
        <v>9.8695705360141205E-4</v>
      </c>
      <c r="S59" s="223">
        <f t="shared" si="5"/>
        <v>109995.3</v>
      </c>
      <c r="T59" s="157"/>
      <c r="U59" s="157"/>
      <c r="V59" s="246">
        <f t="shared" si="4"/>
        <v>2834470.3360296926</v>
      </c>
    </row>
    <row r="60" spans="1:22" s="19" customFormat="1" ht="18.75" customHeight="1" x14ac:dyDescent="0.2">
      <c r="A60" s="16"/>
      <c r="B60" s="16"/>
      <c r="C60" s="20" t="s">
        <v>391</v>
      </c>
      <c r="D60" s="19" t="s">
        <v>162</v>
      </c>
      <c r="E60" s="16" t="s">
        <v>4</v>
      </c>
      <c r="F60" s="221">
        <v>44</v>
      </c>
      <c r="G60" s="221">
        <v>0</v>
      </c>
      <c r="I60" s="220" t="s">
        <v>374</v>
      </c>
      <c r="K60" s="247">
        <v>6111.35</v>
      </c>
      <c r="L60" s="217">
        <f t="shared" si="1"/>
        <v>268899.40000000002</v>
      </c>
      <c r="M60" s="217">
        <v>4762.3200000000006</v>
      </c>
      <c r="N60" s="117">
        <f t="shared" si="2"/>
        <v>268899.40000000002</v>
      </c>
      <c r="P60" s="17">
        <f t="shared" si="0"/>
        <v>6803281.5561056845</v>
      </c>
      <c r="Q60" s="18"/>
      <c r="R60" s="240">
        <f t="shared" si="3"/>
        <v>2.4554900514357852E-3</v>
      </c>
      <c r="S60" s="223">
        <f t="shared" si="5"/>
        <v>273661.72000000003</v>
      </c>
      <c r="T60" s="157"/>
      <c r="U60" s="157"/>
      <c r="V60" s="246">
        <f t="shared" si="4"/>
        <v>7072180.9561056849</v>
      </c>
    </row>
    <row r="61" spans="1:22" s="19" customFormat="1" ht="18.75" customHeight="1" x14ac:dyDescent="0.2">
      <c r="A61" s="16"/>
      <c r="B61" s="16"/>
      <c r="C61" s="20" t="s">
        <v>391</v>
      </c>
      <c r="D61" s="19" t="s">
        <v>162</v>
      </c>
      <c r="E61" s="16" t="s">
        <v>4</v>
      </c>
      <c r="F61" s="221">
        <v>147</v>
      </c>
      <c r="G61" s="221">
        <v>0</v>
      </c>
      <c r="I61" s="220" t="s">
        <v>375</v>
      </c>
      <c r="K61" s="247">
        <v>8311.5</v>
      </c>
      <c r="L61" s="217">
        <f t="shared" si="1"/>
        <v>1221790.5</v>
      </c>
      <c r="M61" s="217">
        <v>4762.3200000000006</v>
      </c>
      <c r="N61" s="117">
        <f t="shared" si="2"/>
        <v>1221790.5</v>
      </c>
      <c r="P61" s="17">
        <f t="shared" si="0"/>
        <v>30492332.569916669</v>
      </c>
      <c r="Q61" s="18"/>
      <c r="R61" s="240">
        <f t="shared" si="3"/>
        <v>1.1005515302142029E-2</v>
      </c>
      <c r="S61" s="223">
        <f t="shared" si="5"/>
        <v>1226552.82</v>
      </c>
      <c r="T61" s="157"/>
      <c r="U61" s="157"/>
      <c r="V61" s="246">
        <f t="shared" si="4"/>
        <v>31714123.069916669</v>
      </c>
    </row>
    <row r="62" spans="1:22" s="19" customFormat="1" ht="18.75" customHeight="1" x14ac:dyDescent="0.2">
      <c r="A62" s="16"/>
      <c r="B62" s="16"/>
      <c r="C62" s="20" t="s">
        <v>391</v>
      </c>
      <c r="D62" s="19" t="s">
        <v>162</v>
      </c>
      <c r="E62" s="16" t="s">
        <v>4</v>
      </c>
      <c r="F62" s="221">
        <v>75</v>
      </c>
      <c r="G62" s="221">
        <v>0</v>
      </c>
      <c r="I62" s="220" t="s">
        <v>376</v>
      </c>
      <c r="K62" s="247">
        <v>11137.35</v>
      </c>
      <c r="L62" s="217">
        <f t="shared" si="1"/>
        <v>835301.25</v>
      </c>
      <c r="M62" s="217">
        <v>4762.3200000000006</v>
      </c>
      <c r="N62" s="117">
        <f t="shared" si="2"/>
        <v>835301.25</v>
      </c>
      <c r="P62" s="17">
        <f t="shared" si="0"/>
        <v>20884137.510124896</v>
      </c>
      <c r="Q62" s="18"/>
      <c r="R62" s="240">
        <f t="shared" si="3"/>
        <v>7.537655389685591E-3</v>
      </c>
      <c r="S62" s="223">
        <f t="shared" si="5"/>
        <v>840063.57</v>
      </c>
      <c r="T62" s="157"/>
      <c r="U62" s="157"/>
      <c r="V62" s="246">
        <f t="shared" si="4"/>
        <v>21719438.760124896</v>
      </c>
    </row>
    <row r="63" spans="1:22" s="19" customFormat="1" ht="18.75" customHeight="1" x14ac:dyDescent="0.2">
      <c r="A63" s="16"/>
      <c r="B63" s="16"/>
      <c r="C63" s="20" t="s">
        <v>391</v>
      </c>
      <c r="D63" s="19" t="s">
        <v>162</v>
      </c>
      <c r="E63" s="16" t="s">
        <v>4</v>
      </c>
      <c r="F63" s="221">
        <v>21</v>
      </c>
      <c r="G63" s="221">
        <v>0</v>
      </c>
      <c r="I63" s="220" t="s">
        <v>382</v>
      </c>
      <c r="K63" s="247">
        <v>12919.3</v>
      </c>
      <c r="L63" s="217">
        <f t="shared" si="1"/>
        <v>271305.3</v>
      </c>
      <c r="M63" s="217">
        <v>4762.3200000000006</v>
      </c>
      <c r="N63" s="117">
        <f t="shared" si="2"/>
        <v>271305.3</v>
      </c>
      <c r="P63" s="17">
        <f t="shared" si="0"/>
        <v>6863092.6802038392</v>
      </c>
      <c r="Q63" s="18"/>
      <c r="R63" s="240">
        <f t="shared" si="3"/>
        <v>2.4770775190390338E-3</v>
      </c>
      <c r="S63" s="223">
        <f t="shared" si="5"/>
        <v>276067.62</v>
      </c>
      <c r="T63" s="157"/>
      <c r="U63" s="157"/>
      <c r="V63" s="246">
        <f t="shared" si="4"/>
        <v>7134397.980203839</v>
      </c>
    </row>
    <row r="64" spans="1:22" s="19" customFormat="1" ht="18.75" customHeight="1" x14ac:dyDescent="0.2">
      <c r="A64" s="16"/>
      <c r="B64" s="16"/>
      <c r="C64" s="20" t="s">
        <v>391</v>
      </c>
      <c r="D64" s="19" t="s">
        <v>162</v>
      </c>
      <c r="E64" s="16" t="s">
        <v>4</v>
      </c>
      <c r="F64" s="221">
        <v>59</v>
      </c>
      <c r="G64" s="221">
        <v>0</v>
      </c>
      <c r="I64" s="220" t="s">
        <v>377</v>
      </c>
      <c r="K64" s="247">
        <v>14701.3</v>
      </c>
      <c r="L64" s="217">
        <f t="shared" si="1"/>
        <v>867376.7</v>
      </c>
      <c r="M64" s="217">
        <v>4762.3200000000006</v>
      </c>
      <c r="N64" s="117">
        <f t="shared" si="2"/>
        <v>867376.7</v>
      </c>
      <c r="P64" s="17">
        <f t="shared" si="0"/>
        <v>21681539.197831854</v>
      </c>
      <c r="Q64" s="18"/>
      <c r="R64" s="240">
        <f t="shared" si="3"/>
        <v>7.8254594288121662E-3</v>
      </c>
      <c r="S64" s="223">
        <f t="shared" si="5"/>
        <v>872139.0199999999</v>
      </c>
      <c r="T64" s="157"/>
      <c r="U64" s="157"/>
      <c r="V64" s="246">
        <f t="shared" si="4"/>
        <v>22548915.897831853</v>
      </c>
    </row>
    <row r="65" spans="1:22" s="19" customFormat="1" ht="18.75" customHeight="1" x14ac:dyDescent="0.2">
      <c r="A65" s="16"/>
      <c r="B65" s="16"/>
      <c r="C65" s="20" t="s">
        <v>391</v>
      </c>
      <c r="D65" s="19" t="s">
        <v>162</v>
      </c>
      <c r="E65" s="16" t="s">
        <v>4</v>
      </c>
      <c r="F65" s="221">
        <v>14</v>
      </c>
      <c r="G65" s="221">
        <v>0</v>
      </c>
      <c r="I65" s="220" t="s">
        <v>378</v>
      </c>
      <c r="K65" s="247">
        <v>18817.7</v>
      </c>
      <c r="L65" s="217">
        <f t="shared" si="1"/>
        <v>263447.8</v>
      </c>
      <c r="M65" s="217">
        <v>4762.3200000000006</v>
      </c>
      <c r="N65" s="117">
        <f t="shared" si="2"/>
        <v>263447.8</v>
      </c>
      <c r="P65" s="17">
        <f t="shared" si="0"/>
        <v>6667753.7602149546</v>
      </c>
      <c r="Q65" s="18"/>
      <c r="R65" s="240">
        <f t="shared" si="3"/>
        <v>2.4065743698256301E-3</v>
      </c>
      <c r="S65" s="223">
        <f t="shared" si="5"/>
        <v>268210.12</v>
      </c>
      <c r="T65" s="157"/>
      <c r="U65" s="157"/>
      <c r="V65" s="246">
        <f t="shared" si="4"/>
        <v>6931201.5602149544</v>
      </c>
    </row>
    <row r="66" spans="1:22" s="19" customFormat="1" ht="18.75" customHeight="1" x14ac:dyDescent="0.2">
      <c r="A66" s="16"/>
      <c r="B66" s="16"/>
      <c r="C66" s="20" t="s">
        <v>391</v>
      </c>
      <c r="D66" s="19" t="s">
        <v>162</v>
      </c>
      <c r="E66" s="16" t="s">
        <v>4</v>
      </c>
      <c r="F66" s="221">
        <v>9</v>
      </c>
      <c r="G66" s="221">
        <v>0</v>
      </c>
      <c r="I66" s="220" t="s">
        <v>379</v>
      </c>
      <c r="K66" s="247">
        <v>24086.65</v>
      </c>
      <c r="L66" s="217">
        <f t="shared" si="1"/>
        <v>216779.85</v>
      </c>
      <c r="M66" s="217">
        <v>4762.3200000000006</v>
      </c>
      <c r="N66" s="117">
        <f t="shared" si="2"/>
        <v>216779.85</v>
      </c>
      <c r="P66" s="17">
        <f t="shared" si="0"/>
        <v>5507579.7925286377</v>
      </c>
      <c r="Q66" s="18"/>
      <c r="R66" s="240">
        <f t="shared" si="3"/>
        <v>1.9878359107313053E-3</v>
      </c>
      <c r="S66" s="223">
        <f t="shared" si="5"/>
        <v>221542.17</v>
      </c>
      <c r="T66" s="157"/>
      <c r="U66" s="157"/>
      <c r="V66" s="246">
        <f t="shared" si="4"/>
        <v>5724359.6425286373</v>
      </c>
    </row>
    <row r="67" spans="1:22" s="19" customFormat="1" ht="18.75" customHeight="1" x14ac:dyDescent="0.2">
      <c r="A67" s="16"/>
      <c r="B67" s="16"/>
      <c r="C67" s="20" t="s">
        <v>392</v>
      </c>
      <c r="D67" s="19" t="s">
        <v>163</v>
      </c>
      <c r="E67" s="16" t="s">
        <v>4</v>
      </c>
      <c r="F67" s="221">
        <v>1</v>
      </c>
      <c r="G67" s="221">
        <v>0</v>
      </c>
      <c r="I67" s="220" t="s">
        <v>375</v>
      </c>
      <c r="K67" s="247">
        <v>10797.05</v>
      </c>
      <c r="L67" s="217">
        <f t="shared" si="1"/>
        <v>10797.05</v>
      </c>
      <c r="M67" s="217">
        <v>4330.1900000000005</v>
      </c>
      <c r="N67" s="117">
        <f t="shared" si="2"/>
        <v>10797.05</v>
      </c>
      <c r="P67" s="17">
        <f t="shared" si="0"/>
        <v>376066.01641904522</v>
      </c>
      <c r="Q67" s="18"/>
      <c r="R67" s="240">
        <f t="shared" si="3"/>
        <v>1.3573249238396027E-4</v>
      </c>
      <c r="S67" s="223">
        <f t="shared" si="5"/>
        <v>15127.24</v>
      </c>
      <c r="T67" s="157"/>
      <c r="U67" s="157"/>
      <c r="V67" s="246">
        <f t="shared" si="4"/>
        <v>386863.06641904521</v>
      </c>
    </row>
    <row r="68" spans="1:22" s="19" customFormat="1" ht="18.75" customHeight="1" x14ac:dyDescent="0.2">
      <c r="A68" s="16"/>
      <c r="B68" s="16"/>
      <c r="C68" s="20" t="s">
        <v>393</v>
      </c>
      <c r="D68" s="19" t="s">
        <v>164</v>
      </c>
      <c r="E68" s="16"/>
      <c r="F68" s="221">
        <v>1</v>
      </c>
      <c r="G68" s="221">
        <v>0</v>
      </c>
      <c r="I68" s="220" t="s">
        <v>376</v>
      </c>
      <c r="K68" s="247">
        <v>12889.8</v>
      </c>
      <c r="L68" s="217">
        <f t="shared" si="1"/>
        <v>12889.8</v>
      </c>
      <c r="M68" s="217">
        <v>4307.8</v>
      </c>
      <c r="N68" s="117">
        <f t="shared" si="2"/>
        <v>12889.8</v>
      </c>
      <c r="P68" s="17">
        <f t="shared" si="0"/>
        <v>427535.55334404501</v>
      </c>
      <c r="Q68" s="18"/>
      <c r="R68" s="240">
        <f t="shared" si="3"/>
        <v>1.5430925344097105E-4</v>
      </c>
      <c r="S68" s="223">
        <f t="shared" si="5"/>
        <v>17197.599999999999</v>
      </c>
      <c r="T68" s="157"/>
      <c r="U68" s="157"/>
      <c r="V68" s="246">
        <f t="shared" si="4"/>
        <v>440425.353344045</v>
      </c>
    </row>
    <row r="69" spans="1:22" s="19" customFormat="1" ht="18.75" customHeight="1" x14ac:dyDescent="0.2">
      <c r="A69" s="16"/>
      <c r="B69" s="16"/>
      <c r="C69" s="20" t="s">
        <v>394</v>
      </c>
      <c r="D69" s="19" t="s">
        <v>165</v>
      </c>
      <c r="E69" s="16" t="s">
        <v>4</v>
      </c>
      <c r="F69" s="221">
        <v>0</v>
      </c>
      <c r="G69" s="221">
        <v>132</v>
      </c>
      <c r="I69" s="220" t="s">
        <v>374</v>
      </c>
      <c r="K69" s="247">
        <v>210.9</v>
      </c>
      <c r="L69" s="217">
        <f>+K69*G69</f>
        <v>27838.799999999999</v>
      </c>
      <c r="M69" s="217">
        <v>126.91</v>
      </c>
      <c r="N69" s="117">
        <f t="shared" si="2"/>
        <v>27838.799999999999</v>
      </c>
      <c r="P69" s="17">
        <f t="shared" si="0"/>
        <v>695232.78245273139</v>
      </c>
      <c r="Q69" s="18"/>
      <c r="R69" s="240">
        <f t="shared" si="3"/>
        <v>2.5092849188530368E-4</v>
      </c>
      <c r="S69" s="223">
        <f t="shared" si="5"/>
        <v>27965.71</v>
      </c>
      <c r="T69" s="157"/>
      <c r="U69" s="157"/>
      <c r="V69" s="246">
        <f t="shared" si="4"/>
        <v>723071.58245273144</v>
      </c>
    </row>
    <row r="70" spans="1:22" s="19" customFormat="1" ht="18.75" customHeight="1" x14ac:dyDescent="0.2">
      <c r="A70" s="16"/>
      <c r="B70" s="16"/>
      <c r="C70" s="20" t="s">
        <v>395</v>
      </c>
      <c r="D70" s="19" t="s">
        <v>166</v>
      </c>
      <c r="E70" s="16" t="s">
        <v>4</v>
      </c>
      <c r="F70" s="221">
        <v>0</v>
      </c>
      <c r="G70" s="221">
        <v>24</v>
      </c>
      <c r="I70" s="220" t="s">
        <v>374</v>
      </c>
      <c r="K70" s="247">
        <v>209.95</v>
      </c>
      <c r="L70" s="217">
        <f>+K70*G70</f>
        <v>5038.7999999999993</v>
      </c>
      <c r="M70" s="217">
        <v>126.91</v>
      </c>
      <c r="N70" s="117">
        <f t="shared" si="2"/>
        <v>5038.7999999999993</v>
      </c>
      <c r="P70" s="17">
        <f t="shared" si="0"/>
        <v>128420.51700614426</v>
      </c>
      <c r="Q70" s="18"/>
      <c r="R70" s="240">
        <f t="shared" si="3"/>
        <v>4.6350470623375267E-5</v>
      </c>
      <c r="S70" s="223">
        <f t="shared" si="5"/>
        <v>5165.7099999999991</v>
      </c>
      <c r="T70" s="157"/>
      <c r="U70" s="157"/>
      <c r="V70" s="246">
        <f t="shared" si="4"/>
        <v>133459.31700614427</v>
      </c>
    </row>
    <row r="71" spans="1:22" s="19" customFormat="1" ht="18.75" customHeight="1" x14ac:dyDescent="0.2">
      <c r="A71" s="16"/>
      <c r="B71" s="16"/>
      <c r="C71" s="20" t="s">
        <v>396</v>
      </c>
      <c r="D71" s="19" t="s">
        <v>167</v>
      </c>
      <c r="E71" s="16" t="s">
        <v>4</v>
      </c>
      <c r="F71" s="221">
        <v>2714</v>
      </c>
      <c r="G71" s="221">
        <v>0</v>
      </c>
      <c r="I71" s="220" t="s">
        <v>374</v>
      </c>
      <c r="K71" s="247">
        <v>5268.4</v>
      </c>
      <c r="L71" s="217">
        <f t="shared" si="1"/>
        <v>14298437.6</v>
      </c>
      <c r="M71" s="217">
        <v>2857.86</v>
      </c>
      <c r="N71" s="117">
        <f t="shared" si="2"/>
        <v>14298437.6</v>
      </c>
      <c r="P71" s="17">
        <f t="shared" si="0"/>
        <v>355532880.63612241</v>
      </c>
      <c r="Q71" s="18"/>
      <c r="R71" s="240">
        <f t="shared" si="3"/>
        <v>0.12832152310039474</v>
      </c>
      <c r="S71" s="223">
        <f t="shared" si="5"/>
        <v>14301295.459999999</v>
      </c>
      <c r="T71" s="157"/>
      <c r="U71" s="157"/>
      <c r="V71" s="246">
        <f t="shared" si="4"/>
        <v>369831318.23612243</v>
      </c>
    </row>
    <row r="72" spans="1:22" s="19" customFormat="1" ht="18.75" customHeight="1" x14ac:dyDescent="0.2">
      <c r="A72" s="16"/>
      <c r="B72" s="16"/>
      <c r="C72" s="20" t="s">
        <v>396</v>
      </c>
      <c r="D72" s="19" t="s">
        <v>167</v>
      </c>
      <c r="E72" s="16" t="s">
        <v>4</v>
      </c>
      <c r="F72" s="221">
        <v>1039</v>
      </c>
      <c r="G72" s="221">
        <v>0</v>
      </c>
      <c r="I72" s="220" t="s">
        <v>375</v>
      </c>
      <c r="K72" s="247">
        <v>7165.25</v>
      </c>
      <c r="L72" s="217">
        <f t="shared" si="1"/>
        <v>7444694.75</v>
      </c>
      <c r="M72" s="217">
        <v>2915.81</v>
      </c>
      <c r="N72" s="117">
        <f t="shared" si="2"/>
        <v>7444694.75</v>
      </c>
      <c r="P72" s="17">
        <f t="shared" si="0"/>
        <v>185148991.82796162</v>
      </c>
      <c r="Q72" s="18"/>
      <c r="R72" s="240">
        <f t="shared" si="3"/>
        <v>6.6825325942729927E-2</v>
      </c>
      <c r="S72" s="223">
        <f t="shared" si="5"/>
        <v>7447610.5599999996</v>
      </c>
      <c r="T72" s="157"/>
      <c r="U72" s="157"/>
      <c r="V72" s="246">
        <f t="shared" si="4"/>
        <v>192593686.57796162</v>
      </c>
    </row>
    <row r="73" spans="1:22" s="19" customFormat="1" ht="18.75" customHeight="1" x14ac:dyDescent="0.2">
      <c r="A73" s="16"/>
      <c r="B73" s="16"/>
      <c r="C73" s="20" t="s">
        <v>396</v>
      </c>
      <c r="D73" s="19" t="s">
        <v>167</v>
      </c>
      <c r="E73" s="16" t="s">
        <v>4</v>
      </c>
      <c r="F73" s="221">
        <v>442</v>
      </c>
      <c r="G73" s="221">
        <v>0</v>
      </c>
      <c r="I73" s="220" t="s">
        <v>376</v>
      </c>
      <c r="K73" s="247">
        <v>9601.15</v>
      </c>
      <c r="L73" s="217">
        <f t="shared" si="1"/>
        <v>4243708.3</v>
      </c>
      <c r="M73" s="217">
        <v>2919.71</v>
      </c>
      <c r="N73" s="117">
        <f t="shared" si="2"/>
        <v>4243708.3</v>
      </c>
      <c r="P73" s="17">
        <f t="shared" si="0"/>
        <v>105571966.79197508</v>
      </c>
      <c r="Q73" s="18"/>
      <c r="R73" s="240">
        <f t="shared" si="3"/>
        <v>3.8103805057950905E-2</v>
      </c>
      <c r="S73" s="223">
        <f t="shared" si="5"/>
        <v>4246628.01</v>
      </c>
      <c r="T73" s="157"/>
      <c r="U73" s="157"/>
      <c r="V73" s="246">
        <f t="shared" si="4"/>
        <v>109815675.09197508</v>
      </c>
    </row>
    <row r="74" spans="1:22" s="19" customFormat="1" ht="18.75" customHeight="1" x14ac:dyDescent="0.2">
      <c r="A74" s="16"/>
      <c r="B74" s="16"/>
      <c r="C74" s="20" t="s">
        <v>396</v>
      </c>
      <c r="D74" s="19" t="s">
        <v>167</v>
      </c>
      <c r="E74" s="16" t="s">
        <v>4</v>
      </c>
      <c r="F74" s="221">
        <v>13</v>
      </c>
      <c r="G74" s="221">
        <v>0</v>
      </c>
      <c r="I74" s="220" t="s">
        <v>382</v>
      </c>
      <c r="K74" s="247">
        <v>11137.55</v>
      </c>
      <c r="L74" s="217">
        <f t="shared" si="1"/>
        <v>144788.15</v>
      </c>
      <c r="M74" s="217">
        <v>3065.61</v>
      </c>
      <c r="N74" s="117">
        <f t="shared" si="2"/>
        <v>144788.15</v>
      </c>
      <c r="P74" s="17">
        <f t="shared" si="0"/>
        <v>3675672.1342278938</v>
      </c>
      <c r="Q74" s="18"/>
      <c r="R74" s="240">
        <f t="shared" si="3"/>
        <v>1.3266504235498271E-3</v>
      </c>
      <c r="S74" s="223">
        <f t="shared" si="5"/>
        <v>147853.75999999998</v>
      </c>
      <c r="T74" s="157"/>
      <c r="U74" s="157"/>
      <c r="V74" s="246">
        <f t="shared" si="4"/>
        <v>3820460.2842278937</v>
      </c>
    </row>
    <row r="75" spans="1:22" s="19" customFormat="1" ht="18.75" customHeight="1" x14ac:dyDescent="0.2">
      <c r="A75" s="16"/>
      <c r="B75" s="16"/>
      <c r="C75" s="20" t="s">
        <v>396</v>
      </c>
      <c r="D75" s="19" t="s">
        <v>167</v>
      </c>
      <c r="E75" s="16" t="s">
        <v>4</v>
      </c>
      <c r="F75" s="221">
        <v>195</v>
      </c>
      <c r="G75" s="221">
        <v>0</v>
      </c>
      <c r="I75" s="220" t="s">
        <v>377</v>
      </c>
      <c r="K75" s="247">
        <v>12673.5</v>
      </c>
      <c r="L75" s="217">
        <f t="shared" si="1"/>
        <v>2471332.5</v>
      </c>
      <c r="M75" s="217">
        <v>3068.06</v>
      </c>
      <c r="N75" s="117">
        <f t="shared" si="2"/>
        <v>2471332.5</v>
      </c>
      <c r="P75" s="17">
        <f t="shared" si="0"/>
        <v>61514060.834908068</v>
      </c>
      <c r="Q75" s="18"/>
      <c r="R75" s="240">
        <f t="shared" si="3"/>
        <v>2.2202103963781035E-2</v>
      </c>
      <c r="S75" s="223">
        <f t="shared" si="5"/>
        <v>2474400.56</v>
      </c>
      <c r="T75" s="157"/>
      <c r="U75" s="157"/>
      <c r="V75" s="246">
        <f t="shared" si="4"/>
        <v>63985393.334908068</v>
      </c>
    </row>
    <row r="76" spans="1:22" s="19" customFormat="1" ht="18.75" customHeight="1" x14ac:dyDescent="0.2">
      <c r="A76" s="16"/>
      <c r="B76" s="16"/>
      <c r="C76" s="20" t="s">
        <v>396</v>
      </c>
      <c r="D76" s="19" t="s">
        <v>167</v>
      </c>
      <c r="E76" s="16" t="s">
        <v>4</v>
      </c>
      <c r="F76" s="221">
        <v>95</v>
      </c>
      <c r="G76" s="221">
        <v>0</v>
      </c>
      <c r="I76" s="220" t="s">
        <v>378</v>
      </c>
      <c r="K76" s="247">
        <v>16222.25</v>
      </c>
      <c r="L76" s="217">
        <f t="shared" si="1"/>
        <v>1541113.75</v>
      </c>
      <c r="M76" s="217">
        <v>3073.71</v>
      </c>
      <c r="N76" s="117">
        <f t="shared" si="2"/>
        <v>1541113.75</v>
      </c>
      <c r="P76" s="17">
        <f t="shared" si="0"/>
        <v>38388789.143719785</v>
      </c>
      <c r="Q76" s="18"/>
      <c r="R76" s="240">
        <f t="shared" si="3"/>
        <v>1.3855562062468562E-2</v>
      </c>
      <c r="S76" s="223">
        <f t="shared" si="5"/>
        <v>1544187.46</v>
      </c>
      <c r="T76" s="157"/>
      <c r="U76" s="157"/>
      <c r="V76" s="246">
        <f t="shared" si="4"/>
        <v>39929902.893719785</v>
      </c>
    </row>
    <row r="77" spans="1:22" s="19" customFormat="1" ht="18.75" customHeight="1" x14ac:dyDescent="0.2">
      <c r="A77" s="16"/>
      <c r="B77" s="16"/>
      <c r="C77" s="20" t="s">
        <v>396</v>
      </c>
      <c r="D77" s="19" t="s">
        <v>167</v>
      </c>
      <c r="E77" s="16" t="s">
        <v>4</v>
      </c>
      <c r="F77" s="221">
        <v>82</v>
      </c>
      <c r="G77" s="221">
        <v>0</v>
      </c>
      <c r="I77" s="220" t="s">
        <v>379</v>
      </c>
      <c r="K77" s="247">
        <v>20764.349999999999</v>
      </c>
      <c r="L77" s="217">
        <f t="shared" si="1"/>
        <v>1702676.7</v>
      </c>
      <c r="M77" s="217">
        <v>3081.01</v>
      </c>
      <c r="N77" s="117">
        <f t="shared" si="2"/>
        <v>1702676.7</v>
      </c>
      <c r="P77" s="17">
        <f t="shared" si="0"/>
        <v>42405455.785442218</v>
      </c>
      <c r="Q77" s="18"/>
      <c r="R77" s="240">
        <f t="shared" si="3"/>
        <v>1.5305286713336768E-2</v>
      </c>
      <c r="S77" s="223">
        <f t="shared" si="5"/>
        <v>1705757.71</v>
      </c>
      <c r="T77" s="157"/>
      <c r="U77" s="157"/>
      <c r="V77" s="246">
        <f t="shared" si="4"/>
        <v>44108132.485442221</v>
      </c>
    </row>
    <row r="78" spans="1:22" s="19" customFormat="1" ht="18.75" customHeight="1" x14ac:dyDescent="0.2">
      <c r="A78" s="16"/>
      <c r="B78" s="16"/>
      <c r="C78" s="20" t="s">
        <v>397</v>
      </c>
      <c r="D78" s="19" t="s">
        <v>168</v>
      </c>
      <c r="E78" s="16" t="s">
        <v>4</v>
      </c>
      <c r="F78" s="221">
        <v>22</v>
      </c>
      <c r="G78" s="221">
        <v>0</v>
      </c>
      <c r="I78" s="220" t="s">
        <v>374</v>
      </c>
      <c r="K78" s="247">
        <v>6954.2</v>
      </c>
      <c r="L78" s="217">
        <f t="shared" si="1"/>
        <v>152992.4</v>
      </c>
      <c r="M78" s="217">
        <v>2926.62</v>
      </c>
      <c r="N78" s="117">
        <f t="shared" si="2"/>
        <v>152992.4</v>
      </c>
      <c r="P78" s="17">
        <f t="shared" si="0"/>
        <v>3876176.0066847247</v>
      </c>
      <c r="Q78" s="18"/>
      <c r="R78" s="240">
        <f t="shared" si="3"/>
        <v>1.3990177451183789E-3</v>
      </c>
      <c r="S78" s="223">
        <f t="shared" si="5"/>
        <v>155919.01999999999</v>
      </c>
      <c r="T78" s="157"/>
      <c r="U78" s="157"/>
      <c r="V78" s="246">
        <f t="shared" si="4"/>
        <v>4029168.4066847246</v>
      </c>
    </row>
    <row r="79" spans="1:22" s="19" customFormat="1" ht="18.75" customHeight="1" x14ac:dyDescent="0.2">
      <c r="A79" s="16"/>
      <c r="B79" s="16"/>
      <c r="C79" s="20" t="s">
        <v>398</v>
      </c>
      <c r="D79" s="19" t="s">
        <v>169</v>
      </c>
      <c r="E79" s="16" t="s">
        <v>4</v>
      </c>
      <c r="F79" s="221">
        <v>2</v>
      </c>
      <c r="G79" s="221">
        <v>0</v>
      </c>
      <c r="I79" s="220" t="s">
        <v>375</v>
      </c>
      <c r="K79" s="247">
        <v>19979.5</v>
      </c>
      <c r="L79" s="217">
        <f t="shared" si="1"/>
        <v>39959</v>
      </c>
      <c r="M79" s="217">
        <v>10915.339999999998</v>
      </c>
      <c r="N79" s="117">
        <f t="shared" si="2"/>
        <v>39959</v>
      </c>
      <c r="P79" s="17">
        <f t="shared" si="0"/>
        <v>1264745.6100219265</v>
      </c>
      <c r="Q79" s="18"/>
      <c r="R79" s="240">
        <f t="shared" si="3"/>
        <v>4.5648121974590236E-4</v>
      </c>
      <c r="S79" s="223">
        <f t="shared" si="5"/>
        <v>50874.34</v>
      </c>
      <c r="T79" s="157"/>
      <c r="U79" s="157"/>
      <c r="V79" s="246">
        <f t="shared" si="4"/>
        <v>1304704.6100219265</v>
      </c>
    </row>
    <row r="80" spans="1:22" s="19" customFormat="1" ht="18.75" customHeight="1" x14ac:dyDescent="0.2">
      <c r="A80" s="16"/>
      <c r="B80" s="16"/>
      <c r="C80" s="20" t="s">
        <v>398</v>
      </c>
      <c r="D80" s="19" t="s">
        <v>169</v>
      </c>
      <c r="E80" s="16" t="s">
        <v>4</v>
      </c>
      <c r="F80" s="221">
        <v>3</v>
      </c>
      <c r="G80" s="221">
        <v>0</v>
      </c>
      <c r="I80" s="220" t="s">
        <v>376</v>
      </c>
      <c r="K80" s="247">
        <v>24022.9</v>
      </c>
      <c r="L80" s="217">
        <f t="shared" si="1"/>
        <v>72068.700000000012</v>
      </c>
      <c r="M80" s="217">
        <v>10915.339999999998</v>
      </c>
      <c r="N80" s="117">
        <f t="shared" si="2"/>
        <v>72068.700000000012</v>
      </c>
      <c r="P80" s="17">
        <f t="shared" ref="P80:P143" si="6">(+$U$11-$N$472)*R80</f>
        <v>2062998.7591364128</v>
      </c>
      <c r="Q80" s="18"/>
      <c r="R80" s="240">
        <f t="shared" si="3"/>
        <v>7.4459257454038248E-4</v>
      </c>
      <c r="S80" s="223">
        <f t="shared" si="5"/>
        <v>82984.040000000008</v>
      </c>
      <c r="T80" s="157"/>
      <c r="U80" s="157"/>
      <c r="V80" s="246">
        <f t="shared" si="4"/>
        <v>2135067.4591364129</v>
      </c>
    </row>
    <row r="81" spans="1:22" s="19" customFormat="1" ht="18.75" customHeight="1" x14ac:dyDescent="0.2">
      <c r="A81" s="16"/>
      <c r="B81" s="16"/>
      <c r="C81" s="20" t="s">
        <v>398</v>
      </c>
      <c r="D81" s="19" t="s">
        <v>169</v>
      </c>
      <c r="E81" s="16" t="s">
        <v>4</v>
      </c>
      <c r="F81" s="221">
        <v>1</v>
      </c>
      <c r="G81" s="221">
        <v>0</v>
      </c>
      <c r="I81" s="220" t="s">
        <v>377</v>
      </c>
      <c r="K81" s="247">
        <v>28598.75</v>
      </c>
      <c r="L81" s="217">
        <f t="shared" ref="L81:L136" si="7">+K81*F81</f>
        <v>28598.75</v>
      </c>
      <c r="M81" s="217">
        <v>10915.339999999998</v>
      </c>
      <c r="N81" s="117">
        <f t="shared" ref="N81:N144" si="8">+L81</f>
        <v>28598.75</v>
      </c>
      <c r="P81" s="17">
        <f t="shared" si="6"/>
        <v>982327.66973510233</v>
      </c>
      <c r="Q81" s="18"/>
      <c r="R81" s="240">
        <f t="shared" ref="R81:R144" si="9">+S81/$S$472</f>
        <v>3.5454887474411194E-4</v>
      </c>
      <c r="S81" s="223">
        <f t="shared" si="5"/>
        <v>39514.089999999997</v>
      </c>
      <c r="T81" s="157"/>
      <c r="U81" s="157"/>
      <c r="V81" s="246">
        <f t="shared" ref="V81:V144" si="10">+N81+P81</f>
        <v>1010926.4197351023</v>
      </c>
    </row>
    <row r="82" spans="1:22" s="19" customFormat="1" ht="18.75" customHeight="1" x14ac:dyDescent="0.2">
      <c r="A82" s="16"/>
      <c r="B82" s="16"/>
      <c r="C82" s="20" t="s">
        <v>399</v>
      </c>
      <c r="D82" s="19" t="s">
        <v>170</v>
      </c>
      <c r="E82" s="16" t="s">
        <v>4</v>
      </c>
      <c r="F82" s="221">
        <v>4</v>
      </c>
      <c r="G82" s="221">
        <v>0</v>
      </c>
      <c r="I82" s="220" t="s">
        <v>374</v>
      </c>
      <c r="K82" s="247">
        <v>14783.2</v>
      </c>
      <c r="L82" s="217">
        <f t="shared" si="7"/>
        <v>59132.800000000003</v>
      </c>
      <c r="M82" s="217">
        <v>7061.28</v>
      </c>
      <c r="N82" s="117">
        <f t="shared" si="8"/>
        <v>59132.800000000003</v>
      </c>
      <c r="P82" s="17">
        <f t="shared" si="6"/>
        <v>1645597.2124540624</v>
      </c>
      <c r="Q82" s="18"/>
      <c r="R82" s="240">
        <f t="shared" si="9"/>
        <v>5.9394096077428906E-4</v>
      </c>
      <c r="S82" s="223">
        <f t="shared" ref="S82:S145" si="11">+L82+M82</f>
        <v>66194.080000000002</v>
      </c>
      <c r="T82" s="157"/>
      <c r="U82" s="157"/>
      <c r="V82" s="246">
        <f t="shared" si="10"/>
        <v>1704730.0124540625</v>
      </c>
    </row>
    <row r="83" spans="1:22" s="19" customFormat="1" ht="18.75" customHeight="1" x14ac:dyDescent="0.2">
      <c r="A83" s="16"/>
      <c r="B83" s="16"/>
      <c r="C83" s="20" t="s">
        <v>399</v>
      </c>
      <c r="D83" s="19" t="s">
        <v>170</v>
      </c>
      <c r="E83" s="16" t="s">
        <v>4</v>
      </c>
      <c r="F83" s="221">
        <v>16</v>
      </c>
      <c r="G83" s="221">
        <v>0</v>
      </c>
      <c r="I83" s="220" t="s">
        <v>375</v>
      </c>
      <c r="K83" s="247">
        <v>17951.05</v>
      </c>
      <c r="L83" s="217">
        <f t="shared" si="7"/>
        <v>287216.8</v>
      </c>
      <c r="M83" s="217">
        <v>7061.28</v>
      </c>
      <c r="N83" s="117">
        <f t="shared" si="8"/>
        <v>287216.8</v>
      </c>
      <c r="P83" s="17">
        <f t="shared" si="6"/>
        <v>7315808.1226347378</v>
      </c>
      <c r="Q83" s="18"/>
      <c r="R83" s="240">
        <f t="shared" si="9"/>
        <v>2.6404748818929596E-3</v>
      </c>
      <c r="S83" s="223">
        <f t="shared" si="11"/>
        <v>294278.08</v>
      </c>
      <c r="T83" s="157"/>
      <c r="U83" s="157"/>
      <c r="V83" s="246">
        <f t="shared" si="10"/>
        <v>7603024.9226347376</v>
      </c>
    </row>
    <row r="84" spans="1:22" s="19" customFormat="1" ht="18.75" customHeight="1" x14ac:dyDescent="0.2">
      <c r="A84" s="16"/>
      <c r="B84" s="16"/>
      <c r="C84" s="20" t="s">
        <v>399</v>
      </c>
      <c r="D84" s="19" t="s">
        <v>170</v>
      </c>
      <c r="E84" s="16" t="s">
        <v>4</v>
      </c>
      <c r="F84" s="221">
        <v>15</v>
      </c>
      <c r="G84" s="221">
        <v>0</v>
      </c>
      <c r="I84" s="220" t="s">
        <v>376</v>
      </c>
      <c r="K84" s="247">
        <v>21584</v>
      </c>
      <c r="L84" s="217">
        <f t="shared" si="7"/>
        <v>323760</v>
      </c>
      <c r="M84" s="217">
        <v>7061.28</v>
      </c>
      <c r="N84" s="117">
        <f t="shared" si="8"/>
        <v>323760</v>
      </c>
      <c r="P84" s="17">
        <f t="shared" si="6"/>
        <v>8224278.911172796</v>
      </c>
      <c r="Q84" s="18"/>
      <c r="R84" s="240">
        <f t="shared" si="9"/>
        <v>2.9683667918306306E-3</v>
      </c>
      <c r="S84" s="223">
        <f t="shared" si="11"/>
        <v>330821.28000000003</v>
      </c>
      <c r="T84" s="157"/>
      <c r="U84" s="157"/>
      <c r="V84" s="246">
        <f t="shared" si="10"/>
        <v>8548038.911172796</v>
      </c>
    </row>
    <row r="85" spans="1:22" s="19" customFormat="1" ht="18.75" customHeight="1" x14ac:dyDescent="0.2">
      <c r="A85" s="16"/>
      <c r="B85" s="16"/>
      <c r="C85" s="20" t="s">
        <v>399</v>
      </c>
      <c r="D85" s="19" t="s">
        <v>170</v>
      </c>
      <c r="E85" s="16" t="s">
        <v>4</v>
      </c>
      <c r="F85" s="221">
        <v>6</v>
      </c>
      <c r="G85" s="221">
        <v>0</v>
      </c>
      <c r="I85" s="220" t="s">
        <v>377</v>
      </c>
      <c r="K85" s="247">
        <v>25695.3</v>
      </c>
      <c r="L85" s="217">
        <f t="shared" si="7"/>
        <v>154171.79999999999</v>
      </c>
      <c r="M85" s="217">
        <v>7061.28</v>
      </c>
      <c r="N85" s="117">
        <f t="shared" si="8"/>
        <v>154171.79999999999</v>
      </c>
      <c r="P85" s="17">
        <f t="shared" si="6"/>
        <v>4008284.5324443337</v>
      </c>
      <c r="Q85" s="18"/>
      <c r="R85" s="240">
        <f t="shared" si="9"/>
        <v>1.4466993187879913E-3</v>
      </c>
      <c r="S85" s="223">
        <f t="shared" si="11"/>
        <v>161233.07999999999</v>
      </c>
      <c r="T85" s="157"/>
      <c r="U85" s="157"/>
      <c r="V85" s="246">
        <f t="shared" si="10"/>
        <v>4162456.3324443335</v>
      </c>
    </row>
    <row r="86" spans="1:22" s="19" customFormat="1" ht="18.75" customHeight="1" x14ac:dyDescent="0.2">
      <c r="A86" s="16"/>
      <c r="B86" s="16"/>
      <c r="C86" s="20" t="s">
        <v>399</v>
      </c>
      <c r="D86" s="19" t="s">
        <v>170</v>
      </c>
      <c r="E86" s="16" t="s">
        <v>4</v>
      </c>
      <c r="F86" s="221">
        <v>1</v>
      </c>
      <c r="G86" s="221">
        <v>0</v>
      </c>
      <c r="I86" s="220" t="s">
        <v>379</v>
      </c>
      <c r="K86" s="247">
        <v>34974.15</v>
      </c>
      <c r="L86" s="217">
        <f t="shared" si="7"/>
        <v>34974.15</v>
      </c>
      <c r="M86" s="217">
        <v>7061.28</v>
      </c>
      <c r="N86" s="117">
        <f t="shared" si="8"/>
        <v>34974.15</v>
      </c>
      <c r="P86" s="17">
        <f t="shared" si="6"/>
        <v>1045008.6538298874</v>
      </c>
      <c r="Q86" s="18"/>
      <c r="R86" s="240">
        <f t="shared" si="9"/>
        <v>3.7717215317080281E-4</v>
      </c>
      <c r="S86" s="223">
        <f t="shared" si="11"/>
        <v>42035.43</v>
      </c>
      <c r="T86" s="157"/>
      <c r="U86" s="157"/>
      <c r="V86" s="246">
        <f t="shared" si="10"/>
        <v>1079982.8038298874</v>
      </c>
    </row>
    <row r="87" spans="1:22" s="19" customFormat="1" ht="18.75" customHeight="1" x14ac:dyDescent="0.2">
      <c r="A87" s="16"/>
      <c r="B87" s="16"/>
      <c r="C87" s="20" t="s">
        <v>400</v>
      </c>
      <c r="D87" s="19" t="s">
        <v>171</v>
      </c>
      <c r="E87" s="16" t="s">
        <v>4</v>
      </c>
      <c r="F87" s="221">
        <v>8</v>
      </c>
      <c r="G87" s="221">
        <v>0</v>
      </c>
      <c r="I87" s="220" t="s">
        <v>374</v>
      </c>
      <c r="K87" s="247">
        <v>14214.55</v>
      </c>
      <c r="L87" s="217">
        <f t="shared" si="7"/>
        <v>113716.4</v>
      </c>
      <c r="M87" s="217">
        <v>6769.2699999999995</v>
      </c>
      <c r="N87" s="117">
        <f t="shared" si="8"/>
        <v>113716.4</v>
      </c>
      <c r="P87" s="17">
        <f t="shared" si="6"/>
        <v>2995296.2967785043</v>
      </c>
      <c r="Q87" s="18"/>
      <c r="R87" s="240">
        <f t="shared" si="9"/>
        <v>1.081084208728846E-3</v>
      </c>
      <c r="S87" s="223">
        <f t="shared" si="11"/>
        <v>120485.67</v>
      </c>
      <c r="T87" s="157"/>
      <c r="U87" s="157"/>
      <c r="V87" s="246">
        <f t="shared" si="10"/>
        <v>3109012.6967785042</v>
      </c>
    </row>
    <row r="88" spans="1:22" s="19" customFormat="1" ht="18.75" customHeight="1" x14ac:dyDescent="0.2">
      <c r="A88" s="16"/>
      <c r="B88" s="16"/>
      <c r="C88" s="20" t="s">
        <v>400</v>
      </c>
      <c r="D88" s="19" t="s">
        <v>171</v>
      </c>
      <c r="E88" s="16" t="s">
        <v>4</v>
      </c>
      <c r="F88" s="221">
        <v>22</v>
      </c>
      <c r="G88" s="221">
        <v>0</v>
      </c>
      <c r="I88" s="220" t="s">
        <v>375</v>
      </c>
      <c r="K88" s="247">
        <v>17260.55</v>
      </c>
      <c r="L88" s="217">
        <f t="shared" si="7"/>
        <v>379732.1</v>
      </c>
      <c r="M88" s="217">
        <v>6769.2699999999995</v>
      </c>
      <c r="N88" s="117">
        <f t="shared" si="8"/>
        <v>379732.1</v>
      </c>
      <c r="P88" s="17">
        <f t="shared" si="6"/>
        <v>9608496.3652591929</v>
      </c>
      <c r="Q88" s="18"/>
      <c r="R88" s="240">
        <f t="shared" si="9"/>
        <v>3.4679686618256343E-3</v>
      </c>
      <c r="S88" s="223">
        <f t="shared" si="11"/>
        <v>386501.37</v>
      </c>
      <c r="T88" s="157"/>
      <c r="U88" s="157"/>
      <c r="V88" s="246">
        <f t="shared" si="10"/>
        <v>9988228.4652591925</v>
      </c>
    </row>
    <row r="89" spans="1:22" s="19" customFormat="1" ht="18.75" customHeight="1" x14ac:dyDescent="0.2">
      <c r="A89" s="16"/>
      <c r="B89" s="16"/>
      <c r="C89" s="20" t="s">
        <v>400</v>
      </c>
      <c r="D89" s="19" t="s">
        <v>171</v>
      </c>
      <c r="E89" s="16" t="s">
        <v>4</v>
      </c>
      <c r="F89" s="221">
        <v>14</v>
      </c>
      <c r="G89" s="221">
        <v>0</v>
      </c>
      <c r="I89" s="220" t="s">
        <v>376</v>
      </c>
      <c r="K89" s="247">
        <v>20753.75</v>
      </c>
      <c r="L89" s="217">
        <f t="shared" si="7"/>
        <v>290552.5</v>
      </c>
      <c r="M89" s="217">
        <v>6769.2699999999995</v>
      </c>
      <c r="N89" s="117">
        <f t="shared" si="8"/>
        <v>290552.5</v>
      </c>
      <c r="P89" s="17">
        <f t="shared" si="6"/>
        <v>7391474.8254512781</v>
      </c>
      <c r="Q89" s="18"/>
      <c r="R89" s="240">
        <f t="shared" si="9"/>
        <v>2.6677850607322016E-3</v>
      </c>
      <c r="S89" s="223">
        <f t="shared" si="11"/>
        <v>297321.77</v>
      </c>
      <c r="T89" s="157"/>
      <c r="U89" s="157"/>
      <c r="V89" s="246">
        <f t="shared" si="10"/>
        <v>7682027.3254512781</v>
      </c>
    </row>
    <row r="90" spans="1:22" s="19" customFormat="1" ht="18.75" customHeight="1" x14ac:dyDescent="0.2">
      <c r="A90" s="16"/>
      <c r="B90" s="16"/>
      <c r="C90" s="20" t="s">
        <v>400</v>
      </c>
      <c r="D90" s="19" t="s">
        <v>171</v>
      </c>
      <c r="E90" s="16" t="s">
        <v>4</v>
      </c>
      <c r="F90" s="221">
        <v>3</v>
      </c>
      <c r="G90" s="221">
        <v>0</v>
      </c>
      <c r="I90" s="220" t="s">
        <v>377</v>
      </c>
      <c r="K90" s="247">
        <v>24706.85</v>
      </c>
      <c r="L90" s="217">
        <f t="shared" si="7"/>
        <v>74120.549999999988</v>
      </c>
      <c r="M90" s="217">
        <v>6769.2699999999995</v>
      </c>
      <c r="N90" s="117">
        <f t="shared" si="8"/>
        <v>74120.549999999988</v>
      </c>
      <c r="P90" s="17">
        <f t="shared" si="6"/>
        <v>2010936.05814766</v>
      </c>
      <c r="Q90" s="18"/>
      <c r="R90" s="240">
        <f t="shared" si="9"/>
        <v>7.2580172437866489E-4</v>
      </c>
      <c r="S90" s="223">
        <f t="shared" si="11"/>
        <v>80889.819999999992</v>
      </c>
      <c r="T90" s="157"/>
      <c r="U90" s="157"/>
      <c r="V90" s="246">
        <f t="shared" si="10"/>
        <v>2085056.60814766</v>
      </c>
    </row>
    <row r="91" spans="1:22" s="19" customFormat="1" ht="18.75" customHeight="1" x14ac:dyDescent="0.2">
      <c r="A91" s="16"/>
      <c r="B91" s="16"/>
      <c r="C91" s="20" t="s">
        <v>400</v>
      </c>
      <c r="D91" s="19" t="s">
        <v>171</v>
      </c>
      <c r="E91" s="16" t="s">
        <v>4</v>
      </c>
      <c r="F91" s="221">
        <v>1</v>
      </c>
      <c r="G91" s="221">
        <v>0</v>
      </c>
      <c r="I91" s="220" t="s">
        <v>378</v>
      </c>
      <c r="K91" s="247">
        <v>28824.6</v>
      </c>
      <c r="L91" s="217">
        <f t="shared" si="7"/>
        <v>28824.6</v>
      </c>
      <c r="M91" s="217">
        <v>6769.2699999999995</v>
      </c>
      <c r="N91" s="117">
        <f t="shared" si="8"/>
        <v>28824.6</v>
      </c>
      <c r="P91" s="17">
        <f t="shared" si="6"/>
        <v>884870.26713646099</v>
      </c>
      <c r="Q91" s="18"/>
      <c r="R91" s="240">
        <f t="shared" si="9"/>
        <v>3.1937383744097872E-4</v>
      </c>
      <c r="S91" s="223">
        <f t="shared" si="11"/>
        <v>35593.869999999995</v>
      </c>
      <c r="T91" s="157"/>
      <c r="U91" s="157"/>
      <c r="V91" s="246">
        <f t="shared" si="10"/>
        <v>913694.86713646096</v>
      </c>
    </row>
    <row r="92" spans="1:22" s="19" customFormat="1" ht="18.75" customHeight="1" x14ac:dyDescent="0.2">
      <c r="A92" s="16"/>
      <c r="B92" s="16"/>
      <c r="C92" s="20" t="s">
        <v>401</v>
      </c>
      <c r="D92" s="19" t="s">
        <v>172</v>
      </c>
      <c r="E92" s="16" t="s">
        <v>4</v>
      </c>
      <c r="F92" s="221">
        <v>1</v>
      </c>
      <c r="G92" s="221">
        <v>0</v>
      </c>
      <c r="I92" s="220" t="s">
        <v>374</v>
      </c>
      <c r="K92" s="247">
        <v>15522.2</v>
      </c>
      <c r="L92" s="217">
        <f t="shared" si="7"/>
        <v>15522.2</v>
      </c>
      <c r="M92" s="217">
        <v>10908.33</v>
      </c>
      <c r="N92" s="117">
        <f t="shared" si="8"/>
        <v>15522.2</v>
      </c>
      <c r="P92" s="17">
        <f t="shared" si="6"/>
        <v>657067.92044973618</v>
      </c>
      <c r="Q92" s="18"/>
      <c r="R92" s="240">
        <f t="shared" si="9"/>
        <v>2.3715375124140511E-4</v>
      </c>
      <c r="S92" s="223">
        <f t="shared" si="11"/>
        <v>26430.53</v>
      </c>
      <c r="T92" s="157"/>
      <c r="U92" s="157"/>
      <c r="V92" s="246">
        <f t="shared" si="10"/>
        <v>672590.12044973613</v>
      </c>
    </row>
    <row r="93" spans="1:22" s="19" customFormat="1" ht="18.75" customHeight="1" x14ac:dyDescent="0.2">
      <c r="A93" s="16"/>
      <c r="B93" s="16"/>
      <c r="C93" s="20" t="s">
        <v>401</v>
      </c>
      <c r="D93" s="19" t="s">
        <v>172</v>
      </c>
      <c r="E93" s="16" t="s">
        <v>4</v>
      </c>
      <c r="F93" s="221">
        <v>5</v>
      </c>
      <c r="G93" s="221">
        <v>0</v>
      </c>
      <c r="I93" s="220" t="s">
        <v>375</v>
      </c>
      <c r="K93" s="247">
        <v>18848.400000000001</v>
      </c>
      <c r="L93" s="217">
        <f t="shared" si="7"/>
        <v>94242</v>
      </c>
      <c r="M93" s="217">
        <v>10908.33</v>
      </c>
      <c r="N93" s="117">
        <f t="shared" si="8"/>
        <v>94242</v>
      </c>
      <c r="P93" s="17">
        <f t="shared" si="6"/>
        <v>2614056.875427905</v>
      </c>
      <c r="Q93" s="18"/>
      <c r="R93" s="240">
        <f t="shared" si="9"/>
        <v>9.4348449326485916E-4</v>
      </c>
      <c r="S93" s="223">
        <f t="shared" si="11"/>
        <v>105150.33</v>
      </c>
      <c r="T93" s="157"/>
      <c r="U93" s="157"/>
      <c r="V93" s="246">
        <f t="shared" si="10"/>
        <v>2708298.875427905</v>
      </c>
    </row>
    <row r="94" spans="1:22" s="19" customFormat="1" ht="18.75" customHeight="1" x14ac:dyDescent="0.2">
      <c r="A94" s="16"/>
      <c r="B94" s="16"/>
      <c r="C94" s="20" t="s">
        <v>401</v>
      </c>
      <c r="D94" s="19" t="s">
        <v>172</v>
      </c>
      <c r="E94" s="16" t="s">
        <v>4</v>
      </c>
      <c r="F94" s="221">
        <v>1</v>
      </c>
      <c r="G94" s="221">
        <v>0</v>
      </c>
      <c r="I94" s="220" t="s">
        <v>376</v>
      </c>
      <c r="K94" s="247">
        <v>22662.95</v>
      </c>
      <c r="L94" s="217">
        <f t="shared" si="7"/>
        <v>22662.95</v>
      </c>
      <c r="M94" s="217">
        <v>10908.33</v>
      </c>
      <c r="N94" s="117">
        <f t="shared" si="8"/>
        <v>22662.95</v>
      </c>
      <c r="P94" s="17">
        <f t="shared" si="6"/>
        <v>834588.30134832032</v>
      </c>
      <c r="Q94" s="18"/>
      <c r="R94" s="240">
        <f t="shared" si="9"/>
        <v>3.0122570322939265E-4</v>
      </c>
      <c r="S94" s="223">
        <f t="shared" si="11"/>
        <v>33571.279999999999</v>
      </c>
      <c r="T94" s="157"/>
      <c r="U94" s="157"/>
      <c r="V94" s="246">
        <f t="shared" si="10"/>
        <v>857251.25134832028</v>
      </c>
    </row>
    <row r="95" spans="1:22" s="19" customFormat="1" ht="18.75" customHeight="1" x14ac:dyDescent="0.2">
      <c r="A95" s="16"/>
      <c r="B95" s="16"/>
      <c r="C95" s="20" t="s">
        <v>401</v>
      </c>
      <c r="D95" s="19" t="s">
        <v>172</v>
      </c>
      <c r="E95" s="16" t="s">
        <v>4</v>
      </c>
      <c r="F95" s="221">
        <v>1</v>
      </c>
      <c r="G95" s="221">
        <v>0</v>
      </c>
      <c r="I95" s="220" t="s">
        <v>377</v>
      </c>
      <c r="K95" s="247">
        <v>26979.65</v>
      </c>
      <c r="L95" s="217">
        <f t="shared" si="7"/>
        <v>26979.65</v>
      </c>
      <c r="M95" s="217">
        <v>10908.33</v>
      </c>
      <c r="N95" s="117">
        <f t="shared" si="8"/>
        <v>26979.65</v>
      </c>
      <c r="P95" s="17">
        <f t="shared" si="6"/>
        <v>941902.27092083276</v>
      </c>
      <c r="Q95" s="18"/>
      <c r="R95" s="240">
        <f t="shared" si="9"/>
        <v>3.3995824464962804E-4</v>
      </c>
      <c r="S95" s="223">
        <f t="shared" si="11"/>
        <v>37887.980000000003</v>
      </c>
      <c r="T95" s="157"/>
      <c r="U95" s="157"/>
      <c r="V95" s="246">
        <f t="shared" si="10"/>
        <v>968881.92092083278</v>
      </c>
    </row>
    <row r="96" spans="1:22" s="19" customFormat="1" ht="18.75" customHeight="1" x14ac:dyDescent="0.2">
      <c r="A96" s="16"/>
      <c r="B96" s="16"/>
      <c r="C96" s="20" t="s">
        <v>402</v>
      </c>
      <c r="D96" s="19" t="s">
        <v>173</v>
      </c>
      <c r="E96" s="16" t="s">
        <v>4</v>
      </c>
      <c r="F96" s="221">
        <v>0</v>
      </c>
      <c r="G96" s="221">
        <v>229</v>
      </c>
      <c r="I96" s="220" t="s">
        <v>374</v>
      </c>
      <c r="K96" s="247">
        <v>264.89999999999998</v>
      </c>
      <c r="L96" s="217">
        <f>+K96*G96</f>
        <v>60662.099999999991</v>
      </c>
      <c r="M96" s="217">
        <v>129.77000000000001</v>
      </c>
      <c r="N96" s="117">
        <f t="shared" si="8"/>
        <v>60662.099999999991</v>
      </c>
      <c r="P96" s="17">
        <f t="shared" si="6"/>
        <v>1511297.2612032634</v>
      </c>
      <c r="Q96" s="18"/>
      <c r="R96" s="240">
        <f t="shared" si="9"/>
        <v>5.4546844181633267E-4</v>
      </c>
      <c r="S96" s="223">
        <f t="shared" si="11"/>
        <v>60791.869999999988</v>
      </c>
      <c r="T96" s="157"/>
      <c r="U96" s="157"/>
      <c r="V96" s="246">
        <f t="shared" si="10"/>
        <v>1571959.3612032635</v>
      </c>
    </row>
    <row r="97" spans="1:22" s="19" customFormat="1" ht="18.75" customHeight="1" x14ac:dyDescent="0.2">
      <c r="A97" s="16"/>
      <c r="B97" s="16"/>
      <c r="C97" s="20" t="s">
        <v>402</v>
      </c>
      <c r="D97" s="19" t="s">
        <v>173</v>
      </c>
      <c r="E97" s="16" t="s">
        <v>4</v>
      </c>
      <c r="F97" s="221">
        <v>0</v>
      </c>
      <c r="G97" s="221">
        <v>30</v>
      </c>
      <c r="I97" s="220" t="s">
        <v>376</v>
      </c>
      <c r="K97" s="247">
        <v>482.55</v>
      </c>
      <c r="L97" s="217">
        <f t="shared" ref="L97:L120" si="12">+K97*G97</f>
        <v>14476.5</v>
      </c>
      <c r="M97" s="217">
        <v>130.12</v>
      </c>
      <c r="N97" s="117">
        <f t="shared" si="8"/>
        <v>14476.5</v>
      </c>
      <c r="P97" s="17">
        <f t="shared" si="6"/>
        <v>363123.30582093983</v>
      </c>
      <c r="Q97" s="18"/>
      <c r="R97" s="240">
        <f t="shared" si="9"/>
        <v>1.3106111477740828E-4</v>
      </c>
      <c r="S97" s="223">
        <f t="shared" si="11"/>
        <v>14606.62</v>
      </c>
      <c r="T97" s="157"/>
      <c r="U97" s="157"/>
      <c r="V97" s="246">
        <f t="shared" si="10"/>
        <v>377599.80582093983</v>
      </c>
    </row>
    <row r="98" spans="1:22" s="19" customFormat="1" ht="18.75" customHeight="1" x14ac:dyDescent="0.2">
      <c r="A98" s="16"/>
      <c r="B98" s="16"/>
      <c r="C98" s="20" t="s">
        <v>403</v>
      </c>
      <c r="D98" s="19" t="s">
        <v>174</v>
      </c>
      <c r="E98" s="16" t="s">
        <v>4</v>
      </c>
      <c r="F98" s="221">
        <v>0</v>
      </c>
      <c r="G98" s="221">
        <v>21698.5</v>
      </c>
      <c r="I98" s="220" t="s">
        <v>374</v>
      </c>
      <c r="K98" s="247">
        <v>274.2</v>
      </c>
      <c r="L98" s="217">
        <f t="shared" si="12"/>
        <v>5949728.7000000002</v>
      </c>
      <c r="M98" s="217">
        <v>130.03</v>
      </c>
      <c r="N98" s="117">
        <f t="shared" si="8"/>
        <v>5949728.7000000002</v>
      </c>
      <c r="P98" s="17">
        <f t="shared" si="6"/>
        <v>147914601.13326553</v>
      </c>
      <c r="Q98" s="18"/>
      <c r="R98" s="240">
        <f t="shared" si="9"/>
        <v>5.3386417796991686E-2</v>
      </c>
      <c r="S98" s="223">
        <f t="shared" si="11"/>
        <v>5949858.7300000004</v>
      </c>
      <c r="T98" s="157"/>
      <c r="U98" s="157"/>
      <c r="V98" s="246">
        <f t="shared" si="10"/>
        <v>153864329.83326551</v>
      </c>
    </row>
    <row r="99" spans="1:22" s="19" customFormat="1" ht="18.75" customHeight="1" x14ac:dyDescent="0.2">
      <c r="A99" s="16"/>
      <c r="B99" s="16"/>
      <c r="C99" s="20" t="s">
        <v>403</v>
      </c>
      <c r="D99" s="19" t="s">
        <v>174</v>
      </c>
      <c r="E99" s="16" t="s">
        <v>4</v>
      </c>
      <c r="F99" s="221">
        <v>0</v>
      </c>
      <c r="G99" s="221">
        <v>3661</v>
      </c>
      <c r="I99" s="220" t="s">
        <v>375</v>
      </c>
      <c r="K99" s="247">
        <v>372.6</v>
      </c>
      <c r="L99" s="217">
        <f t="shared" si="12"/>
        <v>1364088.6</v>
      </c>
      <c r="M99" s="217">
        <v>130.18</v>
      </c>
      <c r="N99" s="117">
        <f t="shared" si="8"/>
        <v>1364088.6</v>
      </c>
      <c r="P99" s="17">
        <f t="shared" si="6"/>
        <v>33914734.090200841</v>
      </c>
      <c r="Q99" s="18"/>
      <c r="R99" s="240">
        <f t="shared" si="9"/>
        <v>1.2240753446524651E-2</v>
      </c>
      <c r="S99" s="223">
        <f t="shared" si="11"/>
        <v>1364218.78</v>
      </c>
      <c r="T99" s="157"/>
      <c r="U99" s="157"/>
      <c r="V99" s="246">
        <f t="shared" si="10"/>
        <v>35278822.690200843</v>
      </c>
    </row>
    <row r="100" spans="1:22" s="19" customFormat="1" ht="18.75" customHeight="1" x14ac:dyDescent="0.2">
      <c r="A100" s="16"/>
      <c r="B100" s="16"/>
      <c r="C100" s="20" t="s">
        <v>403</v>
      </c>
      <c r="D100" s="19" t="s">
        <v>174</v>
      </c>
      <c r="E100" s="16" t="s">
        <v>4</v>
      </c>
      <c r="F100" s="221">
        <v>0</v>
      </c>
      <c r="G100" s="221">
        <v>1455</v>
      </c>
      <c r="I100" s="220" t="s">
        <v>376</v>
      </c>
      <c r="K100" s="247">
        <v>499.25</v>
      </c>
      <c r="L100" s="217">
        <f t="shared" si="12"/>
        <v>726408.75</v>
      </c>
      <c r="M100" s="217">
        <v>130.38</v>
      </c>
      <c r="N100" s="117">
        <f t="shared" si="8"/>
        <v>726408.75</v>
      </c>
      <c r="P100" s="17">
        <f t="shared" si="6"/>
        <v>18061898.693460196</v>
      </c>
      <c r="Q100" s="18"/>
      <c r="R100" s="240">
        <f t="shared" si="9"/>
        <v>6.5190323502089019E-3</v>
      </c>
      <c r="S100" s="223">
        <f t="shared" si="11"/>
        <v>726539.13</v>
      </c>
      <c r="T100" s="157"/>
      <c r="U100" s="157"/>
      <c r="V100" s="246">
        <f t="shared" si="10"/>
        <v>18788307.443460196</v>
      </c>
    </row>
    <row r="101" spans="1:22" s="19" customFormat="1" ht="18.75" customHeight="1" x14ac:dyDescent="0.2">
      <c r="A101" s="16"/>
      <c r="B101" s="16"/>
      <c r="C101" s="20" t="s">
        <v>403</v>
      </c>
      <c r="D101" s="19" t="s">
        <v>174</v>
      </c>
      <c r="E101" s="16" t="s">
        <v>4</v>
      </c>
      <c r="F101" s="221">
        <v>0</v>
      </c>
      <c r="G101" s="221">
        <v>881</v>
      </c>
      <c r="I101" s="220" t="s">
        <v>377</v>
      </c>
      <c r="K101" s="247">
        <v>659.05</v>
      </c>
      <c r="L101" s="217">
        <f t="shared" si="12"/>
        <v>580623.04999999993</v>
      </c>
      <c r="M101" s="217">
        <v>130.63</v>
      </c>
      <c r="N101" s="117">
        <f t="shared" si="8"/>
        <v>580623.04999999993</v>
      </c>
      <c r="P101" s="17">
        <f t="shared" si="6"/>
        <v>14437645.132773785</v>
      </c>
      <c r="Q101" s="18"/>
      <c r="R101" s="240">
        <f t="shared" si="9"/>
        <v>5.2109402936396125E-3</v>
      </c>
      <c r="S101" s="223">
        <f t="shared" si="11"/>
        <v>580753.67999999993</v>
      </c>
      <c r="T101" s="157"/>
      <c r="U101" s="157"/>
      <c r="V101" s="246">
        <f t="shared" si="10"/>
        <v>15018268.182773786</v>
      </c>
    </row>
    <row r="102" spans="1:22" s="19" customFormat="1" ht="18.75" customHeight="1" x14ac:dyDescent="0.2">
      <c r="A102" s="16"/>
      <c r="B102" s="16"/>
      <c r="C102" s="20" t="s">
        <v>403</v>
      </c>
      <c r="D102" s="19" t="s">
        <v>174</v>
      </c>
      <c r="E102" s="16" t="s">
        <v>4</v>
      </c>
      <c r="F102" s="221">
        <v>0</v>
      </c>
      <c r="G102" s="221">
        <v>280</v>
      </c>
      <c r="I102" s="220" t="s">
        <v>378</v>
      </c>
      <c r="K102" s="247">
        <v>843.55</v>
      </c>
      <c r="L102" s="217">
        <f t="shared" si="12"/>
        <v>236194</v>
      </c>
      <c r="M102" s="217">
        <v>130.93</v>
      </c>
      <c r="N102" s="117">
        <f t="shared" si="8"/>
        <v>236194</v>
      </c>
      <c r="P102" s="17">
        <f t="shared" si="6"/>
        <v>5875081.9717020225</v>
      </c>
      <c r="Q102" s="18"/>
      <c r="R102" s="240">
        <f t="shared" si="9"/>
        <v>2.120477480450164E-3</v>
      </c>
      <c r="S102" s="223">
        <f t="shared" si="11"/>
        <v>236324.93</v>
      </c>
      <c r="T102" s="157"/>
      <c r="U102" s="157"/>
      <c r="V102" s="246">
        <f t="shared" si="10"/>
        <v>6111275.9717020225</v>
      </c>
    </row>
    <row r="103" spans="1:22" s="19" customFormat="1" ht="18.75" customHeight="1" x14ac:dyDescent="0.2">
      <c r="A103" s="16"/>
      <c r="B103" s="16"/>
      <c r="C103" s="20" t="s">
        <v>403</v>
      </c>
      <c r="D103" s="19" t="s">
        <v>174</v>
      </c>
      <c r="E103" s="16" t="s">
        <v>4</v>
      </c>
      <c r="F103" s="221">
        <v>0</v>
      </c>
      <c r="G103" s="221">
        <v>227</v>
      </c>
      <c r="I103" s="220" t="s">
        <v>379</v>
      </c>
      <c r="K103" s="247">
        <v>1079.6500000000001</v>
      </c>
      <c r="L103" s="217">
        <f t="shared" si="12"/>
        <v>245080.55000000002</v>
      </c>
      <c r="M103" s="217">
        <v>131.28</v>
      </c>
      <c r="N103" s="117">
        <f t="shared" si="8"/>
        <v>245080.55000000002</v>
      </c>
      <c r="P103" s="17">
        <f t="shared" si="6"/>
        <v>6096011.9682720788</v>
      </c>
      <c r="Q103" s="18"/>
      <c r="R103" s="240">
        <f t="shared" si="9"/>
        <v>2.2002171478691392E-3</v>
      </c>
      <c r="S103" s="223">
        <f t="shared" si="11"/>
        <v>245211.83000000002</v>
      </c>
      <c r="T103" s="157"/>
      <c r="U103" s="157"/>
      <c r="V103" s="246">
        <f t="shared" si="10"/>
        <v>6341092.5182720786</v>
      </c>
    </row>
    <row r="104" spans="1:22" s="19" customFormat="1" ht="18.75" customHeight="1" x14ac:dyDescent="0.2">
      <c r="A104" s="16"/>
      <c r="B104" s="16"/>
      <c r="C104" s="20" t="s">
        <v>404</v>
      </c>
      <c r="D104" s="19" t="s">
        <v>175</v>
      </c>
      <c r="E104" s="16" t="s">
        <v>4</v>
      </c>
      <c r="F104" s="221">
        <v>0</v>
      </c>
      <c r="G104" s="221">
        <v>1880.5</v>
      </c>
      <c r="I104" s="220" t="s">
        <v>374</v>
      </c>
      <c r="K104" s="247">
        <v>274.2</v>
      </c>
      <c r="L104" s="217">
        <f t="shared" si="12"/>
        <v>515633.1</v>
      </c>
      <c r="M104" s="217">
        <v>130.03</v>
      </c>
      <c r="N104" s="117">
        <f t="shared" si="8"/>
        <v>515633.1</v>
      </c>
      <c r="P104" s="17">
        <f t="shared" si="6"/>
        <v>12821967.901277307</v>
      </c>
      <c r="Q104" s="18"/>
      <c r="R104" s="240">
        <f t="shared" si="9"/>
        <v>4.6277982708446816E-3</v>
      </c>
      <c r="S104" s="223">
        <f t="shared" si="11"/>
        <v>515763.13</v>
      </c>
      <c r="T104" s="157"/>
      <c r="U104" s="157"/>
      <c r="V104" s="246">
        <f t="shared" si="10"/>
        <v>13337601.001277307</v>
      </c>
    </row>
    <row r="105" spans="1:22" s="19" customFormat="1" ht="18.75" customHeight="1" x14ac:dyDescent="0.2">
      <c r="A105" s="16"/>
      <c r="B105" s="16"/>
      <c r="C105" s="20" t="s">
        <v>404</v>
      </c>
      <c r="D105" s="19" t="s">
        <v>175</v>
      </c>
      <c r="E105" s="16" t="s">
        <v>4</v>
      </c>
      <c r="F105" s="221">
        <v>0</v>
      </c>
      <c r="G105" s="221">
        <v>175.5</v>
      </c>
      <c r="I105" s="220" t="s">
        <v>375</v>
      </c>
      <c r="K105" s="247">
        <v>372.6</v>
      </c>
      <c r="L105" s="217">
        <f t="shared" si="12"/>
        <v>65391.3</v>
      </c>
      <c r="M105" s="217">
        <v>130.18</v>
      </c>
      <c r="N105" s="117">
        <f t="shared" si="8"/>
        <v>65391.3</v>
      </c>
      <c r="P105" s="17">
        <f t="shared" si="6"/>
        <v>1628876.2506233882</v>
      </c>
      <c r="Q105" s="18"/>
      <c r="R105" s="240">
        <f t="shared" si="9"/>
        <v>5.8790590914706222E-4</v>
      </c>
      <c r="S105" s="223">
        <f t="shared" si="11"/>
        <v>65521.48</v>
      </c>
      <c r="T105" s="157"/>
      <c r="U105" s="157"/>
      <c r="V105" s="246">
        <f t="shared" si="10"/>
        <v>1694267.5506233883</v>
      </c>
    </row>
    <row r="106" spans="1:22" s="19" customFormat="1" ht="18.75" customHeight="1" x14ac:dyDescent="0.2">
      <c r="A106" s="16"/>
      <c r="B106" s="16"/>
      <c r="C106" s="20" t="s">
        <v>404</v>
      </c>
      <c r="D106" s="19" t="s">
        <v>175</v>
      </c>
      <c r="E106" s="16" t="s">
        <v>4</v>
      </c>
      <c r="F106" s="221">
        <v>0</v>
      </c>
      <c r="G106" s="221">
        <v>20</v>
      </c>
      <c r="I106" s="220" t="s">
        <v>376</v>
      </c>
      <c r="K106" s="247">
        <v>499.25</v>
      </c>
      <c r="L106" s="217">
        <f t="shared" si="12"/>
        <v>9985</v>
      </c>
      <c r="M106" s="217">
        <v>130.38</v>
      </c>
      <c r="N106" s="117">
        <f t="shared" si="8"/>
        <v>9985</v>
      </c>
      <c r="P106" s="17">
        <f t="shared" si="6"/>
        <v>251470.2391953113</v>
      </c>
      <c r="Q106" s="18"/>
      <c r="R106" s="240">
        <f t="shared" si="9"/>
        <v>9.0762474768091455E-5</v>
      </c>
      <c r="S106" s="223">
        <f t="shared" si="11"/>
        <v>10115.379999999999</v>
      </c>
      <c r="T106" s="157"/>
      <c r="U106" s="157"/>
      <c r="V106" s="246">
        <f t="shared" si="10"/>
        <v>261455.2391953113</v>
      </c>
    </row>
    <row r="107" spans="1:22" s="19" customFormat="1" ht="18.75" customHeight="1" x14ac:dyDescent="0.2">
      <c r="A107" s="16"/>
      <c r="B107" s="16"/>
      <c r="C107" s="20" t="s">
        <v>404</v>
      </c>
      <c r="D107" s="19" t="s">
        <v>175</v>
      </c>
      <c r="E107" s="16" t="s">
        <v>4</v>
      </c>
      <c r="F107" s="221">
        <v>0</v>
      </c>
      <c r="G107" s="221">
        <v>4</v>
      </c>
      <c r="I107" s="220" t="s">
        <v>377</v>
      </c>
      <c r="K107" s="247">
        <v>659.05</v>
      </c>
      <c r="L107" s="217">
        <f t="shared" si="12"/>
        <v>2636.2</v>
      </c>
      <c r="M107" s="217">
        <v>130.63</v>
      </c>
      <c r="N107" s="117">
        <f t="shared" si="8"/>
        <v>2636.2</v>
      </c>
      <c r="P107" s="17">
        <f t="shared" si="6"/>
        <v>68783.911421297395</v>
      </c>
      <c r="Q107" s="18"/>
      <c r="R107" s="240">
        <f t="shared" si="9"/>
        <v>2.4825991516146551E-5</v>
      </c>
      <c r="S107" s="223">
        <f t="shared" si="11"/>
        <v>2766.83</v>
      </c>
      <c r="T107" s="157"/>
      <c r="U107" s="157"/>
      <c r="V107" s="246">
        <f t="shared" si="10"/>
        <v>71420.111421297392</v>
      </c>
    </row>
    <row r="108" spans="1:22" s="19" customFormat="1" ht="18.75" customHeight="1" x14ac:dyDescent="0.2">
      <c r="A108" s="16"/>
      <c r="B108" s="16"/>
      <c r="C108" s="20" t="s">
        <v>405</v>
      </c>
      <c r="D108" s="19" t="s">
        <v>406</v>
      </c>
      <c r="E108" s="16" t="s">
        <v>4</v>
      </c>
      <c r="F108" s="221">
        <v>0</v>
      </c>
      <c r="G108" s="221">
        <v>56</v>
      </c>
      <c r="I108" s="220" t="s">
        <v>374</v>
      </c>
      <c r="K108" s="247">
        <v>274.2</v>
      </c>
      <c r="L108" s="217">
        <f t="shared" si="12"/>
        <v>15355.199999999999</v>
      </c>
      <c r="M108" s="217">
        <v>130.03</v>
      </c>
      <c r="N108" s="117">
        <f t="shared" si="8"/>
        <v>15355.199999999999</v>
      </c>
      <c r="P108" s="17">
        <f t="shared" si="6"/>
        <v>384965.71479216905</v>
      </c>
      <c r="Q108" s="18"/>
      <c r="R108" s="240">
        <f t="shared" si="9"/>
        <v>1.3894463649937946E-4</v>
      </c>
      <c r="S108" s="223">
        <f t="shared" si="11"/>
        <v>15485.23</v>
      </c>
      <c r="T108" s="157"/>
      <c r="U108" s="157"/>
      <c r="V108" s="246">
        <f t="shared" si="10"/>
        <v>400320.91479216906</v>
      </c>
    </row>
    <row r="109" spans="1:22" s="19" customFormat="1" ht="18.75" customHeight="1" x14ac:dyDescent="0.2">
      <c r="A109" s="16"/>
      <c r="B109" s="16"/>
      <c r="C109" s="20" t="s">
        <v>405</v>
      </c>
      <c r="D109" s="19" t="s">
        <v>406</v>
      </c>
      <c r="E109" s="16" t="s">
        <v>4</v>
      </c>
      <c r="F109" s="221">
        <v>0</v>
      </c>
      <c r="G109" s="221">
        <v>12</v>
      </c>
      <c r="I109" s="220" t="s">
        <v>375</v>
      </c>
      <c r="K109" s="247">
        <v>372.6</v>
      </c>
      <c r="L109" s="217">
        <f t="shared" si="12"/>
        <v>4471.2000000000007</v>
      </c>
      <c r="M109" s="217">
        <v>130.18</v>
      </c>
      <c r="N109" s="117">
        <f t="shared" si="8"/>
        <v>4471.2000000000007</v>
      </c>
      <c r="P109" s="17">
        <f t="shared" si="6"/>
        <v>114391.16763072886</v>
      </c>
      <c r="Q109" s="18"/>
      <c r="R109" s="240">
        <f t="shared" si="9"/>
        <v>4.1286895415535633E-5</v>
      </c>
      <c r="S109" s="223">
        <f t="shared" si="11"/>
        <v>4601.380000000001</v>
      </c>
      <c r="T109" s="157"/>
      <c r="U109" s="157"/>
      <c r="V109" s="246">
        <f t="shared" si="10"/>
        <v>118862.36763072886</v>
      </c>
    </row>
    <row r="110" spans="1:22" s="19" customFormat="1" ht="18.75" customHeight="1" x14ac:dyDescent="0.2">
      <c r="A110" s="16"/>
      <c r="B110" s="16"/>
      <c r="C110" s="20" t="s">
        <v>405</v>
      </c>
      <c r="D110" s="19" t="s">
        <v>406</v>
      </c>
      <c r="E110" s="16" t="s">
        <v>4</v>
      </c>
      <c r="F110" s="221">
        <v>0</v>
      </c>
      <c r="G110" s="221">
        <v>6</v>
      </c>
      <c r="I110" s="220" t="s">
        <v>376</v>
      </c>
      <c r="K110" s="247">
        <v>499.25</v>
      </c>
      <c r="L110" s="217">
        <f t="shared" si="12"/>
        <v>2995.5</v>
      </c>
      <c r="M110" s="217">
        <v>130.38</v>
      </c>
      <c r="N110" s="117">
        <f t="shared" si="8"/>
        <v>2995.5</v>
      </c>
      <c r="P110" s="17">
        <f t="shared" si="6"/>
        <v>77709.961592727093</v>
      </c>
      <c r="Q110" s="18"/>
      <c r="R110" s="240">
        <f t="shared" si="9"/>
        <v>2.8047646715010385E-5</v>
      </c>
      <c r="S110" s="223">
        <f t="shared" si="11"/>
        <v>3125.88</v>
      </c>
      <c r="T110" s="157"/>
      <c r="U110" s="157"/>
      <c r="V110" s="246">
        <f t="shared" si="10"/>
        <v>80705.461592727093</v>
      </c>
    </row>
    <row r="111" spans="1:22" s="19" customFormat="1" ht="18.75" customHeight="1" x14ac:dyDescent="0.2">
      <c r="A111" s="16"/>
      <c r="B111" s="16"/>
      <c r="C111" s="20" t="s">
        <v>407</v>
      </c>
      <c r="D111" s="19" t="s">
        <v>176</v>
      </c>
      <c r="E111" s="16" t="s">
        <v>4</v>
      </c>
      <c r="F111" s="221">
        <v>0</v>
      </c>
      <c r="G111" s="221">
        <v>673</v>
      </c>
      <c r="I111" s="220" t="s">
        <v>374</v>
      </c>
      <c r="K111" s="247">
        <v>274.2</v>
      </c>
      <c r="L111" s="217">
        <f t="shared" si="12"/>
        <v>184536.6</v>
      </c>
      <c r="M111" s="217">
        <v>130.03</v>
      </c>
      <c r="N111" s="117">
        <f t="shared" si="8"/>
        <v>184536.6</v>
      </c>
      <c r="P111" s="17">
        <f t="shared" si="6"/>
        <v>4590846.9694160828</v>
      </c>
      <c r="Q111" s="18"/>
      <c r="R111" s="240">
        <f t="shared" si="9"/>
        <v>1.6569620069521345E-3</v>
      </c>
      <c r="S111" s="223">
        <f t="shared" si="11"/>
        <v>184666.63</v>
      </c>
      <c r="T111" s="157"/>
      <c r="U111" s="157"/>
      <c r="V111" s="246">
        <f t="shared" si="10"/>
        <v>4775383.5694160825</v>
      </c>
    </row>
    <row r="112" spans="1:22" s="19" customFormat="1" ht="18.75" customHeight="1" x14ac:dyDescent="0.2">
      <c r="A112" s="16"/>
      <c r="B112" s="16"/>
      <c r="C112" s="20" t="s">
        <v>407</v>
      </c>
      <c r="D112" s="19" t="s">
        <v>176</v>
      </c>
      <c r="E112" s="16" t="s">
        <v>4</v>
      </c>
      <c r="F112" s="221">
        <v>0</v>
      </c>
      <c r="G112" s="221">
        <v>64</v>
      </c>
      <c r="I112" s="220" t="s">
        <v>375</v>
      </c>
      <c r="K112" s="247">
        <v>372.6</v>
      </c>
      <c r="L112" s="217">
        <f t="shared" si="12"/>
        <v>23846.400000000001</v>
      </c>
      <c r="M112" s="217">
        <v>130.18</v>
      </c>
      <c r="N112" s="117">
        <f t="shared" si="8"/>
        <v>23846.400000000001</v>
      </c>
      <c r="P112" s="17">
        <f t="shared" si="6"/>
        <v>596062.26436233916</v>
      </c>
      <c r="Q112" s="18"/>
      <c r="R112" s="240">
        <f t="shared" si="9"/>
        <v>2.1513514443106702E-4</v>
      </c>
      <c r="S112" s="223">
        <f t="shared" si="11"/>
        <v>23976.58</v>
      </c>
      <c r="T112" s="157"/>
      <c r="U112" s="157"/>
      <c r="V112" s="246">
        <f t="shared" si="10"/>
        <v>619908.66436233919</v>
      </c>
    </row>
    <row r="113" spans="1:22" s="19" customFormat="1" ht="18.75" customHeight="1" x14ac:dyDescent="0.2">
      <c r="A113" s="16"/>
      <c r="B113" s="16"/>
      <c r="C113" s="20" t="s">
        <v>407</v>
      </c>
      <c r="D113" s="19" t="s">
        <v>176</v>
      </c>
      <c r="E113" s="16" t="s">
        <v>4</v>
      </c>
      <c r="F113" s="221">
        <v>0</v>
      </c>
      <c r="G113" s="221">
        <v>21</v>
      </c>
      <c r="I113" s="220" t="s">
        <v>376</v>
      </c>
      <c r="K113" s="247">
        <v>499.25</v>
      </c>
      <c r="L113" s="217">
        <f t="shared" si="12"/>
        <v>10484.25</v>
      </c>
      <c r="M113" s="217">
        <v>130.38</v>
      </c>
      <c r="N113" s="117">
        <f t="shared" si="8"/>
        <v>10484.25</v>
      </c>
      <c r="P113" s="17">
        <f t="shared" si="6"/>
        <v>263881.6875954959</v>
      </c>
      <c r="Q113" s="18"/>
      <c r="R113" s="240">
        <f t="shared" si="9"/>
        <v>9.5242105343311542E-5</v>
      </c>
      <c r="S113" s="223">
        <f t="shared" si="11"/>
        <v>10614.63</v>
      </c>
      <c r="T113" s="157"/>
      <c r="U113" s="157"/>
      <c r="V113" s="246">
        <f t="shared" si="10"/>
        <v>274365.9375954959</v>
      </c>
    </row>
    <row r="114" spans="1:22" s="19" customFormat="1" ht="18.75" customHeight="1" x14ac:dyDescent="0.2">
      <c r="A114" s="16"/>
      <c r="B114" s="16"/>
      <c r="C114" s="20" t="s">
        <v>407</v>
      </c>
      <c r="D114" s="19" t="s">
        <v>176</v>
      </c>
      <c r="E114" s="16" t="s">
        <v>4</v>
      </c>
      <c r="F114" s="221">
        <v>0</v>
      </c>
      <c r="G114" s="221">
        <v>4</v>
      </c>
      <c r="I114" s="220" t="s">
        <v>377</v>
      </c>
      <c r="K114" s="247">
        <v>659.05</v>
      </c>
      <c r="L114" s="217">
        <f t="shared" si="12"/>
        <v>2636.2</v>
      </c>
      <c r="M114" s="217">
        <v>130.63</v>
      </c>
      <c r="N114" s="117">
        <f t="shared" si="8"/>
        <v>2636.2</v>
      </c>
      <c r="P114" s="17">
        <f t="shared" si="6"/>
        <v>68783.911421297395</v>
      </c>
      <c r="Q114" s="18"/>
      <c r="R114" s="240">
        <f t="shared" si="9"/>
        <v>2.4825991516146551E-5</v>
      </c>
      <c r="S114" s="223">
        <f t="shared" si="11"/>
        <v>2766.83</v>
      </c>
      <c r="T114" s="157"/>
      <c r="U114" s="157"/>
      <c r="V114" s="246">
        <f t="shared" si="10"/>
        <v>71420.111421297392</v>
      </c>
    </row>
    <row r="115" spans="1:22" s="19" customFormat="1" ht="18.75" customHeight="1" x14ac:dyDescent="0.2">
      <c r="A115" s="16"/>
      <c r="B115" s="16"/>
      <c r="C115" s="20" t="s">
        <v>408</v>
      </c>
      <c r="D115" s="19" t="s">
        <v>409</v>
      </c>
      <c r="E115" s="16" t="s">
        <v>4</v>
      </c>
      <c r="F115" s="221">
        <v>0</v>
      </c>
      <c r="G115" s="221">
        <v>3</v>
      </c>
      <c r="I115" s="220" t="s">
        <v>374</v>
      </c>
      <c r="K115" s="247">
        <v>264.89999999999998</v>
      </c>
      <c r="L115" s="217">
        <f t="shared" si="12"/>
        <v>794.69999999999993</v>
      </c>
      <c r="M115" s="217">
        <v>129.77000000000001</v>
      </c>
      <c r="N115" s="117">
        <f t="shared" si="8"/>
        <v>794.69999999999993</v>
      </c>
      <c r="P115" s="17">
        <f t="shared" si="6"/>
        <v>22982.497150763436</v>
      </c>
      <c r="Q115" s="18"/>
      <c r="R115" s="240">
        <f t="shared" si="9"/>
        <v>8.2950106717550406E-6</v>
      </c>
      <c r="S115" s="223">
        <f t="shared" si="11"/>
        <v>924.46999999999991</v>
      </c>
      <c r="T115" s="157"/>
      <c r="U115" s="157"/>
      <c r="V115" s="246">
        <f t="shared" si="10"/>
        <v>23777.197150763437</v>
      </c>
    </row>
    <row r="116" spans="1:22" s="19" customFormat="1" ht="18.75" customHeight="1" x14ac:dyDescent="0.2">
      <c r="A116" s="16"/>
      <c r="B116" s="16"/>
      <c r="C116" s="20" t="s">
        <v>410</v>
      </c>
      <c r="D116" s="19" t="s">
        <v>177</v>
      </c>
      <c r="E116" s="16" t="s">
        <v>4</v>
      </c>
      <c r="F116" s="221">
        <v>0</v>
      </c>
      <c r="G116" s="221">
        <v>788</v>
      </c>
      <c r="I116" s="220" t="s">
        <v>374</v>
      </c>
      <c r="K116" s="247">
        <v>274.2</v>
      </c>
      <c r="L116" s="217">
        <f t="shared" si="12"/>
        <v>216069.59999999998</v>
      </c>
      <c r="M116" s="217">
        <v>130.03</v>
      </c>
      <c r="N116" s="117">
        <f t="shared" si="8"/>
        <v>216069.59999999998</v>
      </c>
      <c r="P116" s="17">
        <f t="shared" si="6"/>
        <v>5374763.248640961</v>
      </c>
      <c r="Q116" s="18"/>
      <c r="R116" s="240">
        <f t="shared" si="9"/>
        <v>1.9398987939895198E-3</v>
      </c>
      <c r="S116" s="223">
        <f t="shared" si="11"/>
        <v>216199.62999999998</v>
      </c>
      <c r="T116" s="157"/>
      <c r="U116" s="157"/>
      <c r="V116" s="246">
        <f t="shared" si="10"/>
        <v>5590832.8486409606</v>
      </c>
    </row>
    <row r="117" spans="1:22" s="19" customFormat="1" ht="18.75" customHeight="1" x14ac:dyDescent="0.2">
      <c r="A117" s="16"/>
      <c r="B117" s="16"/>
      <c r="C117" s="20" t="s">
        <v>410</v>
      </c>
      <c r="D117" s="19" t="s">
        <v>177</v>
      </c>
      <c r="E117" s="16" t="s">
        <v>4</v>
      </c>
      <c r="F117" s="221">
        <v>0</v>
      </c>
      <c r="G117" s="221">
        <v>219</v>
      </c>
      <c r="I117" s="220" t="s">
        <v>375</v>
      </c>
      <c r="K117" s="247">
        <v>372.6</v>
      </c>
      <c r="L117" s="217">
        <f>+K117*G117</f>
        <v>81599.400000000009</v>
      </c>
      <c r="M117" s="217">
        <v>130.18</v>
      </c>
      <c r="N117" s="117">
        <f t="shared" si="8"/>
        <v>81599.400000000009</v>
      </c>
      <c r="P117" s="17">
        <f t="shared" si="6"/>
        <v>2031812.648850793</v>
      </c>
      <c r="Q117" s="18"/>
      <c r="R117" s="240">
        <f t="shared" si="9"/>
        <v>7.3333665591967015E-4</v>
      </c>
      <c r="S117" s="223">
        <f t="shared" si="11"/>
        <v>81729.58</v>
      </c>
      <c r="T117" s="157"/>
      <c r="U117" s="157"/>
      <c r="V117" s="246">
        <f t="shared" si="10"/>
        <v>2113412.0488507929</v>
      </c>
    </row>
    <row r="118" spans="1:22" s="19" customFormat="1" ht="18.75" customHeight="1" x14ac:dyDescent="0.2">
      <c r="A118" s="16"/>
      <c r="B118" s="16"/>
      <c r="C118" s="20" t="s">
        <v>410</v>
      </c>
      <c r="D118" s="19" t="s">
        <v>177</v>
      </c>
      <c r="E118" s="16" t="s">
        <v>4</v>
      </c>
      <c r="F118" s="221">
        <v>0</v>
      </c>
      <c r="G118" s="221">
        <v>112</v>
      </c>
      <c r="I118" s="220" t="s">
        <v>376</v>
      </c>
      <c r="K118" s="247">
        <v>499.25</v>
      </c>
      <c r="L118" s="217">
        <f t="shared" si="12"/>
        <v>55916</v>
      </c>
      <c r="M118" s="217">
        <v>130.38</v>
      </c>
      <c r="N118" s="117">
        <f t="shared" si="8"/>
        <v>55916</v>
      </c>
      <c r="P118" s="17">
        <f t="shared" si="6"/>
        <v>1393323.4920122935</v>
      </c>
      <c r="Q118" s="18"/>
      <c r="R118" s="240">
        <f t="shared" si="9"/>
        <v>5.0288848768833855E-4</v>
      </c>
      <c r="S118" s="223">
        <f t="shared" si="11"/>
        <v>56046.38</v>
      </c>
      <c r="T118" s="157"/>
      <c r="U118" s="157"/>
      <c r="V118" s="246">
        <f t="shared" si="10"/>
        <v>1449239.4920122935</v>
      </c>
    </row>
    <row r="119" spans="1:22" s="19" customFormat="1" ht="18.75" customHeight="1" x14ac:dyDescent="0.2">
      <c r="A119" s="16"/>
      <c r="B119" s="16"/>
      <c r="C119" s="20" t="s">
        <v>410</v>
      </c>
      <c r="D119" s="19" t="s">
        <v>177</v>
      </c>
      <c r="E119" s="16" t="s">
        <v>4</v>
      </c>
      <c r="F119" s="221">
        <v>0</v>
      </c>
      <c r="G119" s="221">
        <v>110</v>
      </c>
      <c r="I119" s="220" t="s">
        <v>377</v>
      </c>
      <c r="K119" s="247">
        <v>659.05</v>
      </c>
      <c r="L119" s="217">
        <f t="shared" si="12"/>
        <v>72495.5</v>
      </c>
      <c r="M119" s="217">
        <v>130.63</v>
      </c>
      <c r="N119" s="117">
        <f t="shared" si="8"/>
        <v>72495.5</v>
      </c>
      <c r="P119" s="17">
        <f t="shared" si="6"/>
        <v>1805499.1787683486</v>
      </c>
      <c r="Q119" s="18"/>
      <c r="R119" s="240">
        <f t="shared" si="9"/>
        <v>6.5165394593471833E-4</v>
      </c>
      <c r="S119" s="223">
        <f t="shared" si="11"/>
        <v>72626.13</v>
      </c>
      <c r="T119" s="157"/>
      <c r="U119" s="157"/>
      <c r="V119" s="246">
        <f t="shared" si="10"/>
        <v>1877994.6787683486</v>
      </c>
    </row>
    <row r="120" spans="1:22" s="19" customFormat="1" ht="18.75" customHeight="1" x14ac:dyDescent="0.2">
      <c r="A120" s="16"/>
      <c r="B120" s="16"/>
      <c r="C120" s="20" t="s">
        <v>410</v>
      </c>
      <c r="D120" s="19" t="s">
        <v>177</v>
      </c>
      <c r="E120" s="16" t="s">
        <v>4</v>
      </c>
      <c r="F120" s="221">
        <v>0</v>
      </c>
      <c r="G120" s="221">
        <v>22</v>
      </c>
      <c r="I120" s="220" t="s">
        <v>378</v>
      </c>
      <c r="K120" s="247">
        <v>843.55</v>
      </c>
      <c r="L120" s="217">
        <f t="shared" si="12"/>
        <v>18558.099999999999</v>
      </c>
      <c r="M120" s="217">
        <v>130.93</v>
      </c>
      <c r="N120" s="117">
        <f t="shared" si="8"/>
        <v>18558.099999999999</v>
      </c>
      <c r="P120" s="17">
        <f t="shared" si="6"/>
        <v>464612.78216224688</v>
      </c>
      <c r="Q120" s="18"/>
      <c r="R120" s="240">
        <f t="shared" si="9"/>
        <v>1.676914375747727E-4</v>
      </c>
      <c r="S120" s="223">
        <f t="shared" si="11"/>
        <v>18689.03</v>
      </c>
      <c r="T120" s="157"/>
      <c r="U120" s="157"/>
      <c r="V120" s="246">
        <f t="shared" si="10"/>
        <v>483170.88216224685</v>
      </c>
    </row>
    <row r="121" spans="1:22" s="19" customFormat="1" ht="18.75" customHeight="1" x14ac:dyDescent="0.2">
      <c r="A121" s="16"/>
      <c r="B121" s="16"/>
      <c r="C121" s="20" t="s">
        <v>411</v>
      </c>
      <c r="D121" s="19" t="s">
        <v>178</v>
      </c>
      <c r="E121" s="16"/>
      <c r="F121" s="221">
        <v>1</v>
      </c>
      <c r="G121" s="221">
        <v>0</v>
      </c>
      <c r="I121" s="220" t="s">
        <v>374</v>
      </c>
      <c r="K121" s="247">
        <v>16453.650000000001</v>
      </c>
      <c r="L121" s="217">
        <f t="shared" si="7"/>
        <v>16453.650000000001</v>
      </c>
      <c r="M121" s="217">
        <v>10915.339999999998</v>
      </c>
      <c r="N121" s="117">
        <f t="shared" si="8"/>
        <v>16453.650000000001</v>
      </c>
      <c r="P121" s="17">
        <f t="shared" si="6"/>
        <v>680398.21161776269</v>
      </c>
      <c r="Q121" s="18"/>
      <c r="R121" s="240">
        <f t="shared" si="9"/>
        <v>2.4557429026918887E-4</v>
      </c>
      <c r="S121" s="223">
        <f t="shared" si="11"/>
        <v>27368.989999999998</v>
      </c>
      <c r="T121" s="157"/>
      <c r="U121" s="157"/>
      <c r="V121" s="246">
        <f t="shared" si="10"/>
        <v>696851.86161776271</v>
      </c>
    </row>
    <row r="122" spans="1:22" s="19" customFormat="1" ht="18.75" customHeight="1" x14ac:dyDescent="0.2">
      <c r="A122" s="16"/>
      <c r="B122" s="16"/>
      <c r="C122" s="20" t="s">
        <v>411</v>
      </c>
      <c r="D122" s="19" t="s">
        <v>178</v>
      </c>
      <c r="E122" s="16" t="s">
        <v>4</v>
      </c>
      <c r="F122" s="221">
        <v>4</v>
      </c>
      <c r="G122" s="221">
        <v>0</v>
      </c>
      <c r="I122" s="220" t="s">
        <v>375</v>
      </c>
      <c r="K122" s="247">
        <v>19979.5</v>
      </c>
      <c r="L122" s="217">
        <f t="shared" si="7"/>
        <v>79918</v>
      </c>
      <c r="M122" s="217">
        <v>10915.339999999998</v>
      </c>
      <c r="N122" s="117">
        <f t="shared" si="8"/>
        <v>79918</v>
      </c>
      <c r="P122" s="17">
        <f t="shared" si="6"/>
        <v>2258133.8255912326</v>
      </c>
      <c r="Q122" s="18"/>
      <c r="R122" s="240">
        <f t="shared" si="9"/>
        <v>8.1502214744789351E-4</v>
      </c>
      <c r="S122" s="223">
        <f t="shared" si="11"/>
        <v>90833.34</v>
      </c>
      <c r="T122" s="157"/>
      <c r="U122" s="157"/>
      <c r="V122" s="246">
        <f t="shared" si="10"/>
        <v>2338051.8255912326</v>
      </c>
    </row>
    <row r="123" spans="1:22" s="19" customFormat="1" ht="18.75" customHeight="1" x14ac:dyDescent="0.2">
      <c r="A123" s="16"/>
      <c r="B123" s="16"/>
      <c r="C123" s="20" t="s">
        <v>411</v>
      </c>
      <c r="D123" s="19" t="s">
        <v>178</v>
      </c>
      <c r="E123" s="16" t="s">
        <v>4</v>
      </c>
      <c r="F123" s="221">
        <v>3</v>
      </c>
      <c r="G123" s="221">
        <v>0</v>
      </c>
      <c r="I123" s="220" t="s">
        <v>376</v>
      </c>
      <c r="K123" s="247">
        <v>24022.9</v>
      </c>
      <c r="L123" s="217">
        <f t="shared" si="7"/>
        <v>72068.700000000012</v>
      </c>
      <c r="M123" s="217">
        <v>10915.339999999998</v>
      </c>
      <c r="N123" s="117">
        <f t="shared" si="8"/>
        <v>72068.700000000012</v>
      </c>
      <c r="P123" s="17">
        <f t="shared" si="6"/>
        <v>2062998.7591364128</v>
      </c>
      <c r="Q123" s="18"/>
      <c r="R123" s="240">
        <f t="shared" si="9"/>
        <v>7.4459257454038248E-4</v>
      </c>
      <c r="S123" s="223">
        <f t="shared" si="11"/>
        <v>82984.040000000008</v>
      </c>
      <c r="T123" s="157"/>
      <c r="U123" s="157"/>
      <c r="V123" s="246">
        <f t="shared" si="10"/>
        <v>2135067.4591364129</v>
      </c>
    </row>
    <row r="124" spans="1:22" s="19" customFormat="1" ht="18.75" customHeight="1" x14ac:dyDescent="0.2">
      <c r="A124" s="16"/>
      <c r="B124" s="16"/>
      <c r="C124" s="20" t="s">
        <v>412</v>
      </c>
      <c r="D124" s="19" t="s">
        <v>179</v>
      </c>
      <c r="E124" s="16" t="s">
        <v>4</v>
      </c>
      <c r="F124" s="221">
        <v>7</v>
      </c>
      <c r="G124" s="221">
        <v>0</v>
      </c>
      <c r="I124" s="220" t="s">
        <v>374</v>
      </c>
      <c r="K124" s="247">
        <v>14783.2</v>
      </c>
      <c r="L124" s="217">
        <f t="shared" si="7"/>
        <v>103482.40000000001</v>
      </c>
      <c r="M124" s="217">
        <v>7061.28</v>
      </c>
      <c r="N124" s="117">
        <f t="shared" si="8"/>
        <v>103482.40000000001</v>
      </c>
      <c r="P124" s="17">
        <f t="shared" si="6"/>
        <v>2748136.5654211659</v>
      </c>
      <c r="Q124" s="18"/>
      <c r="R124" s="240">
        <f t="shared" si="9"/>
        <v>9.9187751392157061E-4</v>
      </c>
      <c r="S124" s="223">
        <f t="shared" si="11"/>
        <v>110543.68000000001</v>
      </c>
      <c r="T124" s="157"/>
      <c r="U124" s="157"/>
      <c r="V124" s="246">
        <f t="shared" si="10"/>
        <v>2851618.9654211658</v>
      </c>
    </row>
    <row r="125" spans="1:22" s="19" customFormat="1" ht="18.75" customHeight="1" x14ac:dyDescent="0.2">
      <c r="A125" s="16"/>
      <c r="B125" s="16"/>
      <c r="C125" s="20" t="s">
        <v>412</v>
      </c>
      <c r="D125" s="19" t="s">
        <v>179</v>
      </c>
      <c r="E125" s="16" t="s">
        <v>4</v>
      </c>
      <c r="F125" s="221">
        <v>30</v>
      </c>
      <c r="G125" s="221">
        <v>0</v>
      </c>
      <c r="I125" s="220" t="s">
        <v>375</v>
      </c>
      <c r="K125" s="247">
        <v>17951.05</v>
      </c>
      <c r="L125" s="217">
        <f t="shared" si="7"/>
        <v>538531.5</v>
      </c>
      <c r="M125" s="217">
        <v>7061.28</v>
      </c>
      <c r="N125" s="117">
        <f t="shared" si="8"/>
        <v>538531.5</v>
      </c>
      <c r="P125" s="17">
        <f t="shared" si="6"/>
        <v>13563538.580837782</v>
      </c>
      <c r="Q125" s="18"/>
      <c r="R125" s="240">
        <f t="shared" si="9"/>
        <v>4.8954513748769579E-3</v>
      </c>
      <c r="S125" s="223">
        <f t="shared" si="11"/>
        <v>545592.78</v>
      </c>
      <c r="T125" s="157"/>
      <c r="U125" s="157"/>
      <c r="V125" s="246">
        <f t="shared" si="10"/>
        <v>14102070.080837782</v>
      </c>
    </row>
    <row r="126" spans="1:22" s="19" customFormat="1" ht="18.75" customHeight="1" x14ac:dyDescent="0.2">
      <c r="A126" s="16"/>
      <c r="B126" s="16"/>
      <c r="C126" s="20" t="s">
        <v>412</v>
      </c>
      <c r="D126" s="19" t="s">
        <v>179</v>
      </c>
      <c r="E126" s="16" t="s">
        <v>4</v>
      </c>
      <c r="F126" s="221">
        <v>8</v>
      </c>
      <c r="G126" s="221">
        <v>0</v>
      </c>
      <c r="I126" s="220" t="s">
        <v>376</v>
      </c>
      <c r="K126" s="247">
        <v>21584</v>
      </c>
      <c r="L126" s="217">
        <f t="shared" si="7"/>
        <v>172672</v>
      </c>
      <c r="M126" s="217">
        <v>7061.28</v>
      </c>
      <c r="N126" s="117">
        <f t="shared" si="8"/>
        <v>172672</v>
      </c>
      <c r="P126" s="17">
        <f t="shared" si="6"/>
        <v>4468202.965480078</v>
      </c>
      <c r="Q126" s="18"/>
      <c r="R126" s="240">
        <f t="shared" si="9"/>
        <v>1.6126964376015848E-3</v>
      </c>
      <c r="S126" s="223">
        <f t="shared" si="11"/>
        <v>179733.28</v>
      </c>
      <c r="T126" s="157"/>
      <c r="U126" s="157"/>
      <c r="V126" s="246">
        <f t="shared" si="10"/>
        <v>4640874.965480078</v>
      </c>
    </row>
    <row r="127" spans="1:22" s="19" customFormat="1" ht="18.75" customHeight="1" x14ac:dyDescent="0.2">
      <c r="A127" s="16"/>
      <c r="B127" s="16"/>
      <c r="C127" s="20" t="s">
        <v>412</v>
      </c>
      <c r="D127" s="19" t="s">
        <v>179</v>
      </c>
      <c r="E127" s="16" t="s">
        <v>4</v>
      </c>
      <c r="F127" s="221">
        <v>6</v>
      </c>
      <c r="G127" s="221">
        <v>0</v>
      </c>
      <c r="I127" s="220" t="s">
        <v>377</v>
      </c>
      <c r="K127" s="247">
        <v>25695.3</v>
      </c>
      <c r="L127" s="217">
        <f t="shared" si="7"/>
        <v>154171.79999999999</v>
      </c>
      <c r="M127" s="217">
        <v>7061.28</v>
      </c>
      <c r="N127" s="117">
        <f t="shared" si="8"/>
        <v>154171.79999999999</v>
      </c>
      <c r="P127" s="17">
        <f t="shared" si="6"/>
        <v>4008284.5324443337</v>
      </c>
      <c r="Q127" s="18"/>
      <c r="R127" s="240">
        <f t="shared" si="9"/>
        <v>1.4466993187879913E-3</v>
      </c>
      <c r="S127" s="223">
        <f t="shared" si="11"/>
        <v>161233.07999999999</v>
      </c>
      <c r="T127" s="157"/>
      <c r="U127" s="157"/>
      <c r="V127" s="246">
        <f t="shared" si="10"/>
        <v>4162456.3324443335</v>
      </c>
    </row>
    <row r="128" spans="1:22" s="19" customFormat="1" ht="18.75" customHeight="1" x14ac:dyDescent="0.2">
      <c r="A128" s="16"/>
      <c r="B128" s="16"/>
      <c r="C128" s="20" t="s">
        <v>412</v>
      </c>
      <c r="D128" s="19" t="s">
        <v>179</v>
      </c>
      <c r="E128" s="16" t="s">
        <v>4</v>
      </c>
      <c r="F128" s="221">
        <v>2</v>
      </c>
      <c r="G128" s="221">
        <v>0</v>
      </c>
      <c r="I128" s="220" t="s">
        <v>378</v>
      </c>
      <c r="K128" s="247">
        <v>29977.85</v>
      </c>
      <c r="L128" s="217">
        <f t="shared" si="7"/>
        <v>59955.7</v>
      </c>
      <c r="M128" s="217">
        <v>7061.28</v>
      </c>
      <c r="N128" s="117">
        <f t="shared" si="8"/>
        <v>59955.7</v>
      </c>
      <c r="P128" s="17">
        <f t="shared" si="6"/>
        <v>1666054.6604030097</v>
      </c>
      <c r="Q128" s="18"/>
      <c r="R128" s="240">
        <f t="shared" si="9"/>
        <v>6.0132461225220312E-4</v>
      </c>
      <c r="S128" s="223">
        <f t="shared" si="11"/>
        <v>67016.98</v>
      </c>
      <c r="T128" s="157"/>
      <c r="U128" s="157"/>
      <c r="V128" s="246">
        <f t="shared" si="10"/>
        <v>1726010.3604030097</v>
      </c>
    </row>
    <row r="129" spans="1:22" s="19" customFormat="1" ht="18.75" customHeight="1" x14ac:dyDescent="0.2">
      <c r="A129" s="16"/>
      <c r="B129" s="16"/>
      <c r="C129" s="20" t="s">
        <v>413</v>
      </c>
      <c r="D129" s="19" t="s">
        <v>180</v>
      </c>
      <c r="E129" s="16" t="s">
        <v>4</v>
      </c>
      <c r="F129" s="221">
        <v>7</v>
      </c>
      <c r="G129" s="221">
        <v>0</v>
      </c>
      <c r="I129" s="220" t="s">
        <v>374</v>
      </c>
      <c r="K129" s="247">
        <v>14214.55</v>
      </c>
      <c r="L129" s="217">
        <f t="shared" si="7"/>
        <v>99501.849999999991</v>
      </c>
      <c r="M129" s="217">
        <v>6769.2699999999995</v>
      </c>
      <c r="N129" s="117">
        <f t="shared" si="8"/>
        <v>99501.849999999991</v>
      </c>
      <c r="P129" s="17">
        <f t="shared" si="6"/>
        <v>2641919.9245064082</v>
      </c>
      <c r="Q129" s="18"/>
      <c r="R129" s="240">
        <f t="shared" si="9"/>
        <v>9.5354102837232209E-4</v>
      </c>
      <c r="S129" s="223">
        <f t="shared" si="11"/>
        <v>106271.12</v>
      </c>
      <c r="T129" s="157"/>
      <c r="U129" s="157"/>
      <c r="V129" s="246">
        <f t="shared" si="10"/>
        <v>2741421.7745064083</v>
      </c>
    </row>
    <row r="130" spans="1:22" s="19" customFormat="1" ht="18.75" customHeight="1" x14ac:dyDescent="0.2">
      <c r="A130" s="16"/>
      <c r="B130" s="16"/>
      <c r="C130" s="20" t="s">
        <v>413</v>
      </c>
      <c r="D130" s="19" t="s">
        <v>180</v>
      </c>
      <c r="E130" s="16" t="s">
        <v>4</v>
      </c>
      <c r="F130" s="221">
        <v>13</v>
      </c>
      <c r="G130" s="221">
        <v>0</v>
      </c>
      <c r="I130" s="220" t="s">
        <v>375</v>
      </c>
      <c r="K130" s="247">
        <v>17260.55</v>
      </c>
      <c r="L130" s="217">
        <f t="shared" si="7"/>
        <v>224387.15</v>
      </c>
      <c r="M130" s="217">
        <v>6769.2699999999995</v>
      </c>
      <c r="N130" s="117">
        <f t="shared" si="8"/>
        <v>224387.15</v>
      </c>
      <c r="P130" s="17">
        <f t="shared" si="6"/>
        <v>5746591.8461720515</v>
      </c>
      <c r="Q130" s="18"/>
      <c r="R130" s="240">
        <f t="shared" si="9"/>
        <v>2.0741018862101427E-3</v>
      </c>
      <c r="S130" s="223">
        <f t="shared" si="11"/>
        <v>231156.41999999998</v>
      </c>
      <c r="T130" s="157"/>
      <c r="U130" s="157"/>
      <c r="V130" s="246">
        <f t="shared" si="10"/>
        <v>5970978.9961720519</v>
      </c>
    </row>
    <row r="131" spans="1:22" s="19" customFormat="1" ht="18.75" customHeight="1" x14ac:dyDescent="0.2">
      <c r="A131" s="16"/>
      <c r="B131" s="16"/>
      <c r="C131" s="20" t="s">
        <v>413</v>
      </c>
      <c r="D131" s="19" t="s">
        <v>180</v>
      </c>
      <c r="E131" s="16" t="s">
        <v>4</v>
      </c>
      <c r="F131" s="221">
        <v>4</v>
      </c>
      <c r="G131" s="221">
        <v>0</v>
      </c>
      <c r="I131" s="220" t="s">
        <v>376</v>
      </c>
      <c r="K131" s="247">
        <v>20753.75</v>
      </c>
      <c r="L131" s="217">
        <f t="shared" si="7"/>
        <v>83015</v>
      </c>
      <c r="M131" s="217">
        <v>6769.2699999999995</v>
      </c>
      <c r="N131" s="117">
        <f t="shared" si="8"/>
        <v>83015</v>
      </c>
      <c r="P131" s="17">
        <f t="shared" si="6"/>
        <v>2232053.7491301778</v>
      </c>
      <c r="Q131" s="18"/>
      <c r="R131" s="240">
        <f t="shared" si="9"/>
        <v>8.0560913583538254E-4</v>
      </c>
      <c r="S131" s="223">
        <f t="shared" si="11"/>
        <v>89784.27</v>
      </c>
      <c r="T131" s="157"/>
      <c r="U131" s="157"/>
      <c r="V131" s="246">
        <f t="shared" si="10"/>
        <v>2315068.7491301778</v>
      </c>
    </row>
    <row r="132" spans="1:22" s="19" customFormat="1" ht="18.75" customHeight="1" x14ac:dyDescent="0.2">
      <c r="A132" s="16"/>
      <c r="B132" s="16"/>
      <c r="C132" s="20" t="s">
        <v>413</v>
      </c>
      <c r="D132" s="19" t="s">
        <v>180</v>
      </c>
      <c r="E132" s="16" t="s">
        <v>4</v>
      </c>
      <c r="F132" s="221">
        <v>1</v>
      </c>
      <c r="G132" s="221">
        <v>0</v>
      </c>
      <c r="I132" s="220" t="s">
        <v>377</v>
      </c>
      <c r="K132" s="247">
        <v>24706.85</v>
      </c>
      <c r="L132" s="217">
        <f t="shared" si="7"/>
        <v>24706.85</v>
      </c>
      <c r="M132" s="217">
        <v>6769.2699999999995</v>
      </c>
      <c r="N132" s="117">
        <f t="shared" si="8"/>
        <v>24706.85</v>
      </c>
      <c r="P132" s="17">
        <f t="shared" si="6"/>
        <v>782502.23178371182</v>
      </c>
      <c r="Q132" s="18"/>
      <c r="R132" s="240">
        <f t="shared" si="9"/>
        <v>2.8242641871065833E-4</v>
      </c>
      <c r="S132" s="223">
        <f t="shared" si="11"/>
        <v>31476.12</v>
      </c>
      <c r="T132" s="157"/>
      <c r="U132" s="157"/>
      <c r="V132" s="246">
        <f t="shared" si="10"/>
        <v>807209.08178371179</v>
      </c>
    </row>
    <row r="133" spans="1:22" s="19" customFormat="1" ht="18.75" customHeight="1" x14ac:dyDescent="0.2">
      <c r="A133" s="16"/>
      <c r="B133" s="16"/>
      <c r="C133" s="20" t="s">
        <v>414</v>
      </c>
      <c r="D133" s="19" t="s">
        <v>181</v>
      </c>
      <c r="E133" s="16" t="s">
        <v>4</v>
      </c>
      <c r="F133" s="221">
        <v>1</v>
      </c>
      <c r="G133" s="221">
        <v>0</v>
      </c>
      <c r="I133" s="220" t="s">
        <v>374</v>
      </c>
      <c r="K133" s="247">
        <v>15522.2</v>
      </c>
      <c r="L133" s="217">
        <f t="shared" si="7"/>
        <v>15522.2</v>
      </c>
      <c r="M133" s="217">
        <v>10908.33</v>
      </c>
      <c r="N133" s="117">
        <f t="shared" si="8"/>
        <v>15522.2</v>
      </c>
      <c r="P133" s="17">
        <f t="shared" si="6"/>
        <v>657067.92044973618</v>
      </c>
      <c r="Q133" s="18"/>
      <c r="R133" s="240">
        <f t="shared" si="9"/>
        <v>2.3715375124140511E-4</v>
      </c>
      <c r="S133" s="223">
        <f t="shared" si="11"/>
        <v>26430.53</v>
      </c>
      <c r="T133" s="157"/>
      <c r="U133" s="157"/>
      <c r="V133" s="246">
        <f t="shared" si="10"/>
        <v>672590.12044973613</v>
      </c>
    </row>
    <row r="134" spans="1:22" s="19" customFormat="1" ht="18.75" customHeight="1" x14ac:dyDescent="0.2">
      <c r="A134" s="16"/>
      <c r="B134" s="16"/>
      <c r="C134" s="20" t="s">
        <v>414</v>
      </c>
      <c r="D134" s="19" t="s">
        <v>181</v>
      </c>
      <c r="E134" s="16" t="s">
        <v>4</v>
      </c>
      <c r="F134" s="221">
        <v>4</v>
      </c>
      <c r="G134" s="221">
        <v>0</v>
      </c>
      <c r="I134" s="220" t="s">
        <v>375</v>
      </c>
      <c r="K134" s="247">
        <v>18848.400000000001</v>
      </c>
      <c r="L134" s="217">
        <f t="shared" si="7"/>
        <v>75393.600000000006</v>
      </c>
      <c r="M134" s="217">
        <v>10908.33</v>
      </c>
      <c r="N134" s="117">
        <f t="shared" si="8"/>
        <v>75393.600000000006</v>
      </c>
      <c r="P134" s="17">
        <f t="shared" si="6"/>
        <v>2145482.1252505607</v>
      </c>
      <c r="Q134" s="18"/>
      <c r="R134" s="240">
        <f t="shared" si="9"/>
        <v>7.7436307326690613E-4</v>
      </c>
      <c r="S134" s="223">
        <f t="shared" si="11"/>
        <v>86301.930000000008</v>
      </c>
      <c r="T134" s="157"/>
      <c r="U134" s="157"/>
      <c r="V134" s="246">
        <f t="shared" si="10"/>
        <v>2220875.7252505608</v>
      </c>
    </row>
    <row r="135" spans="1:22" s="19" customFormat="1" ht="18.75" customHeight="1" x14ac:dyDescent="0.2">
      <c r="A135" s="16"/>
      <c r="B135" s="16"/>
      <c r="C135" s="20" t="s">
        <v>414</v>
      </c>
      <c r="D135" s="19" t="s">
        <v>181</v>
      </c>
      <c r="E135" s="16" t="s">
        <v>4</v>
      </c>
      <c r="F135" s="221">
        <v>1</v>
      </c>
      <c r="G135" s="221">
        <v>0</v>
      </c>
      <c r="I135" s="220" t="s">
        <v>376</v>
      </c>
      <c r="K135" s="247">
        <v>22662.95</v>
      </c>
      <c r="L135" s="217">
        <f t="shared" si="7"/>
        <v>22662.95</v>
      </c>
      <c r="M135" s="217">
        <v>10908.33</v>
      </c>
      <c r="N135" s="117">
        <f t="shared" si="8"/>
        <v>22662.95</v>
      </c>
      <c r="P135" s="17">
        <f t="shared" si="6"/>
        <v>834588.30134832032</v>
      </c>
      <c r="Q135" s="18"/>
      <c r="R135" s="240">
        <f t="shared" si="9"/>
        <v>3.0122570322939265E-4</v>
      </c>
      <c r="S135" s="223">
        <f t="shared" si="11"/>
        <v>33571.279999999999</v>
      </c>
      <c r="T135" s="157"/>
      <c r="U135" s="157"/>
      <c r="V135" s="246">
        <f t="shared" si="10"/>
        <v>857251.25134832028</v>
      </c>
    </row>
    <row r="136" spans="1:22" s="19" customFormat="1" ht="18.75" customHeight="1" x14ac:dyDescent="0.2">
      <c r="A136" s="16"/>
      <c r="B136" s="16"/>
      <c r="C136" s="20" t="s">
        <v>414</v>
      </c>
      <c r="D136" s="19" t="s">
        <v>181</v>
      </c>
      <c r="E136" s="16" t="s">
        <v>4</v>
      </c>
      <c r="F136" s="221">
        <v>1</v>
      </c>
      <c r="G136" s="221">
        <v>0</v>
      </c>
      <c r="I136" s="220" t="s">
        <v>377</v>
      </c>
      <c r="K136" s="247">
        <v>26979.65</v>
      </c>
      <c r="L136" s="217">
        <f t="shared" si="7"/>
        <v>26979.65</v>
      </c>
      <c r="M136" s="217">
        <v>10908.33</v>
      </c>
      <c r="N136" s="117">
        <f t="shared" si="8"/>
        <v>26979.65</v>
      </c>
      <c r="P136" s="17">
        <f t="shared" si="6"/>
        <v>941902.27092083276</v>
      </c>
      <c r="Q136" s="18"/>
      <c r="R136" s="240">
        <f t="shared" si="9"/>
        <v>3.3995824464962804E-4</v>
      </c>
      <c r="S136" s="223">
        <f t="shared" si="11"/>
        <v>37887.980000000003</v>
      </c>
      <c r="T136" s="157"/>
      <c r="U136" s="157"/>
      <c r="V136" s="246">
        <f t="shared" si="10"/>
        <v>968881.92092083278</v>
      </c>
    </row>
    <row r="137" spans="1:22" s="19" customFormat="1" ht="18.75" customHeight="1" x14ac:dyDescent="0.2">
      <c r="A137" s="16"/>
      <c r="B137" s="16"/>
      <c r="C137" s="20" t="s">
        <v>415</v>
      </c>
      <c r="D137" s="19" t="s">
        <v>182</v>
      </c>
      <c r="E137" s="16" t="s">
        <v>4</v>
      </c>
      <c r="F137" s="221">
        <v>0</v>
      </c>
      <c r="G137" s="221">
        <v>68</v>
      </c>
      <c r="I137" s="220" t="s">
        <v>374</v>
      </c>
      <c r="K137" s="247">
        <v>264.89999999999998</v>
      </c>
      <c r="L137" s="217">
        <f>+K137*G137</f>
        <v>18013.199999999997</v>
      </c>
      <c r="M137" s="217">
        <v>129.77000000000001</v>
      </c>
      <c r="N137" s="117">
        <f t="shared" si="8"/>
        <v>18013.199999999997</v>
      </c>
      <c r="P137" s="17">
        <f t="shared" si="6"/>
        <v>451037.62840480113</v>
      </c>
      <c r="Q137" s="18"/>
      <c r="R137" s="240">
        <f t="shared" si="9"/>
        <v>1.6279179396554952E-4</v>
      </c>
      <c r="S137" s="223">
        <f t="shared" si="11"/>
        <v>18142.969999999998</v>
      </c>
      <c r="T137" s="157"/>
      <c r="U137" s="157"/>
      <c r="V137" s="246">
        <f t="shared" si="10"/>
        <v>469050.82840480114</v>
      </c>
    </row>
    <row r="138" spans="1:22" s="19" customFormat="1" ht="18.75" customHeight="1" x14ac:dyDescent="0.2">
      <c r="A138" s="16"/>
      <c r="B138" s="16"/>
      <c r="C138" s="20" t="s">
        <v>415</v>
      </c>
      <c r="D138" s="19" t="s">
        <v>182</v>
      </c>
      <c r="E138" s="16" t="s">
        <v>4</v>
      </c>
      <c r="F138" s="221">
        <v>0</v>
      </c>
      <c r="G138" s="221">
        <v>40</v>
      </c>
      <c r="I138" s="220" t="s">
        <v>375</v>
      </c>
      <c r="K138" s="247">
        <v>360.1</v>
      </c>
      <c r="L138" s="217">
        <f t="shared" ref="L138:L161" si="13">+K138*G138</f>
        <v>14404</v>
      </c>
      <c r="M138" s="217">
        <v>129.91999999999999</v>
      </c>
      <c r="N138" s="117">
        <f t="shared" si="8"/>
        <v>14404</v>
      </c>
      <c r="P138" s="17">
        <f t="shared" si="6"/>
        <v>361315.97022015182</v>
      </c>
      <c r="Q138" s="18"/>
      <c r="R138" s="240">
        <f t="shared" si="9"/>
        <v>1.3040879801663011E-4</v>
      </c>
      <c r="S138" s="223">
        <f t="shared" si="11"/>
        <v>14533.92</v>
      </c>
      <c r="T138" s="157"/>
      <c r="U138" s="157"/>
      <c r="V138" s="246">
        <f t="shared" si="10"/>
        <v>375719.97022015182</v>
      </c>
    </row>
    <row r="139" spans="1:22" s="19" customFormat="1" ht="18.75" customHeight="1" x14ac:dyDescent="0.2">
      <c r="A139" s="16"/>
      <c r="B139" s="16"/>
      <c r="C139" s="20" t="s">
        <v>416</v>
      </c>
      <c r="D139" s="19" t="s">
        <v>183</v>
      </c>
      <c r="E139" s="16" t="s">
        <v>4</v>
      </c>
      <c r="F139" s="221">
        <v>0</v>
      </c>
      <c r="G139" s="221">
        <v>23198</v>
      </c>
      <c r="I139" s="220" t="s">
        <v>374</v>
      </c>
      <c r="K139" s="247">
        <v>274.2</v>
      </c>
      <c r="L139" s="217">
        <f t="shared" si="13"/>
        <v>6360891.5999999996</v>
      </c>
      <c r="M139" s="217">
        <v>130.03</v>
      </c>
      <c r="N139" s="117">
        <f t="shared" si="8"/>
        <v>6360891.5999999996</v>
      </c>
      <c r="P139" s="17">
        <f t="shared" si="6"/>
        <v>158136187.74802816</v>
      </c>
      <c r="Q139" s="18"/>
      <c r="R139" s="240">
        <f t="shared" si="9"/>
        <v>5.7075667467970458E-2</v>
      </c>
      <c r="S139" s="223">
        <f t="shared" si="11"/>
        <v>6361021.6299999999</v>
      </c>
      <c r="T139" s="157"/>
      <c r="U139" s="157"/>
      <c r="V139" s="246">
        <f t="shared" si="10"/>
        <v>164497079.34802815</v>
      </c>
    </row>
    <row r="140" spans="1:22" s="19" customFormat="1" ht="18.75" customHeight="1" x14ac:dyDescent="0.2">
      <c r="A140" s="16"/>
      <c r="B140" s="16"/>
      <c r="C140" s="20" t="s">
        <v>416</v>
      </c>
      <c r="D140" s="19" t="s">
        <v>183</v>
      </c>
      <c r="E140" s="16" t="s">
        <v>4</v>
      </c>
      <c r="F140" s="221">
        <v>0</v>
      </c>
      <c r="G140" s="221">
        <v>4526.5</v>
      </c>
      <c r="I140" s="220" t="s">
        <v>375</v>
      </c>
      <c r="K140" s="247">
        <v>372.6</v>
      </c>
      <c r="L140" s="217">
        <f t="shared" si="13"/>
        <v>1686573.9000000001</v>
      </c>
      <c r="M140" s="217">
        <v>130.18</v>
      </c>
      <c r="N140" s="117">
        <f t="shared" si="8"/>
        <v>1686573.9000000001</v>
      </c>
      <c r="P140" s="17">
        <f t="shared" si="6"/>
        <v>41931778.979070246</v>
      </c>
      <c r="Q140" s="18"/>
      <c r="R140" s="240">
        <f t="shared" si="9"/>
        <v>1.5134323821965851E-2</v>
      </c>
      <c r="S140" s="223">
        <f t="shared" si="11"/>
        <v>1686704.08</v>
      </c>
      <c r="T140" s="157"/>
      <c r="U140" s="157"/>
      <c r="V140" s="246">
        <f t="shared" si="10"/>
        <v>43618352.879070245</v>
      </c>
    </row>
    <row r="141" spans="1:22" s="19" customFormat="1" ht="18.75" customHeight="1" x14ac:dyDescent="0.2">
      <c r="A141" s="16"/>
      <c r="B141" s="16"/>
      <c r="C141" s="20" t="s">
        <v>416</v>
      </c>
      <c r="D141" s="19" t="s">
        <v>183</v>
      </c>
      <c r="E141" s="16" t="s">
        <v>4</v>
      </c>
      <c r="F141" s="221">
        <v>0</v>
      </c>
      <c r="G141" s="221">
        <v>1058</v>
      </c>
      <c r="I141" s="220" t="s">
        <v>376</v>
      </c>
      <c r="K141" s="247">
        <v>499.25</v>
      </c>
      <c r="L141" s="217">
        <f t="shared" si="13"/>
        <v>528206.5</v>
      </c>
      <c r="M141" s="217">
        <v>130.38</v>
      </c>
      <c r="N141" s="117">
        <f t="shared" si="8"/>
        <v>528206.5</v>
      </c>
      <c r="P141" s="17">
        <f t="shared" si="6"/>
        <v>13134553.678586913</v>
      </c>
      <c r="Q141" s="18"/>
      <c r="R141" s="240">
        <f t="shared" si="9"/>
        <v>4.7406190118465313E-3</v>
      </c>
      <c r="S141" s="223">
        <f t="shared" si="11"/>
        <v>528336.88</v>
      </c>
      <c r="T141" s="157"/>
      <c r="U141" s="157"/>
      <c r="V141" s="246">
        <f t="shared" si="10"/>
        <v>13662760.178586913</v>
      </c>
    </row>
    <row r="142" spans="1:22" s="19" customFormat="1" ht="18.75" customHeight="1" x14ac:dyDescent="0.2">
      <c r="A142" s="16"/>
      <c r="B142" s="16"/>
      <c r="C142" s="20" t="s">
        <v>416</v>
      </c>
      <c r="D142" s="19" t="s">
        <v>183</v>
      </c>
      <c r="E142" s="16" t="s">
        <v>4</v>
      </c>
      <c r="F142" s="221">
        <v>0</v>
      </c>
      <c r="G142" s="221">
        <v>494</v>
      </c>
      <c r="I142" s="220" t="s">
        <v>377</v>
      </c>
      <c r="K142" s="247">
        <v>659.05</v>
      </c>
      <c r="L142" s="217">
        <f t="shared" si="13"/>
        <v>325570.69999999995</v>
      </c>
      <c r="M142" s="217">
        <v>130.63</v>
      </c>
      <c r="N142" s="117">
        <f t="shared" si="8"/>
        <v>325570.69999999995</v>
      </c>
      <c r="P142" s="17">
        <f t="shared" si="6"/>
        <v>8096995.9963274756</v>
      </c>
      <c r="Q142" s="18"/>
      <c r="R142" s="240">
        <f t="shared" si="9"/>
        <v>2.9224269128850155E-3</v>
      </c>
      <c r="S142" s="223">
        <f t="shared" si="11"/>
        <v>325701.32999999996</v>
      </c>
      <c r="T142" s="157"/>
      <c r="U142" s="157"/>
      <c r="V142" s="246">
        <f t="shared" si="10"/>
        <v>8422566.6963274758</v>
      </c>
    </row>
    <row r="143" spans="1:22" s="19" customFormat="1" ht="18.75" customHeight="1" x14ac:dyDescent="0.2">
      <c r="A143" s="16"/>
      <c r="B143" s="16"/>
      <c r="C143" s="20" t="s">
        <v>416</v>
      </c>
      <c r="D143" s="19" t="s">
        <v>183</v>
      </c>
      <c r="E143" s="16" t="s">
        <v>4</v>
      </c>
      <c r="F143" s="221">
        <v>0</v>
      </c>
      <c r="G143" s="221">
        <v>421</v>
      </c>
      <c r="I143" s="220" t="s">
        <v>378</v>
      </c>
      <c r="K143" s="247">
        <v>843.55</v>
      </c>
      <c r="L143" s="217">
        <f t="shared" si="13"/>
        <v>355134.55</v>
      </c>
      <c r="M143" s="217">
        <v>130.93</v>
      </c>
      <c r="N143" s="117">
        <f t="shared" si="8"/>
        <v>355134.55</v>
      </c>
      <c r="P143" s="17">
        <f t="shared" si="6"/>
        <v>8831966.2962179463</v>
      </c>
      <c r="Q143" s="18"/>
      <c r="R143" s="240">
        <f t="shared" si="9"/>
        <v>3.1876977596960177E-3</v>
      </c>
      <c r="S143" s="223">
        <f t="shared" si="11"/>
        <v>355265.48</v>
      </c>
      <c r="T143" s="157"/>
      <c r="U143" s="157"/>
      <c r="V143" s="246">
        <f t="shared" si="10"/>
        <v>9187100.8462179471</v>
      </c>
    </row>
    <row r="144" spans="1:22" s="19" customFormat="1" ht="18.75" customHeight="1" x14ac:dyDescent="0.2">
      <c r="A144" s="16"/>
      <c r="B144" s="16"/>
      <c r="C144" s="20" t="s">
        <v>416</v>
      </c>
      <c r="D144" s="19" t="s">
        <v>183</v>
      </c>
      <c r="E144" s="16" t="s">
        <v>4</v>
      </c>
      <c r="F144" s="221">
        <v>0</v>
      </c>
      <c r="G144" s="221">
        <v>59</v>
      </c>
      <c r="I144" s="220" t="s">
        <v>379</v>
      </c>
      <c r="K144" s="247">
        <v>1079.6500000000001</v>
      </c>
      <c r="L144" s="217">
        <f t="shared" si="13"/>
        <v>63699.350000000006</v>
      </c>
      <c r="M144" s="217">
        <v>131.28</v>
      </c>
      <c r="N144" s="117">
        <f t="shared" si="8"/>
        <v>63699.350000000006</v>
      </c>
      <c r="P144" s="17">
        <f t="shared" ref="P144:P207" si="14">(+$U$11-$N$472)*R144</f>
        <v>1586841.4032974951</v>
      </c>
      <c r="Q144" s="18"/>
      <c r="R144" s="240">
        <f t="shared" si="9"/>
        <v>5.7273438514483712E-4</v>
      </c>
      <c r="S144" s="223">
        <f t="shared" si="11"/>
        <v>63830.630000000005</v>
      </c>
      <c r="T144" s="157"/>
      <c r="U144" s="157"/>
      <c r="V144" s="246">
        <f t="shared" si="10"/>
        <v>1650540.7532974952</v>
      </c>
    </row>
    <row r="145" spans="1:22" s="19" customFormat="1" ht="18.75" customHeight="1" x14ac:dyDescent="0.2">
      <c r="A145" s="16"/>
      <c r="B145" s="16"/>
      <c r="C145" s="20" t="s">
        <v>417</v>
      </c>
      <c r="D145" s="19" t="s">
        <v>184</v>
      </c>
      <c r="E145" s="16" t="s">
        <v>4</v>
      </c>
      <c r="F145" s="221">
        <v>0</v>
      </c>
      <c r="G145" s="221">
        <v>3759</v>
      </c>
      <c r="I145" s="220" t="s">
        <v>374</v>
      </c>
      <c r="K145" s="247">
        <v>274.2</v>
      </c>
      <c r="L145" s="217">
        <f t="shared" si="13"/>
        <v>1030717.7999999999</v>
      </c>
      <c r="M145" s="217">
        <v>130.03</v>
      </c>
      <c r="N145" s="117">
        <f t="shared" ref="N145:N208" si="15">+L145</f>
        <v>1030717.7999999999</v>
      </c>
      <c r="P145" s="17">
        <f t="shared" si="14"/>
        <v>25627069.905833259</v>
      </c>
      <c r="Q145" s="18"/>
      <c r="R145" s="240">
        <f t="shared" ref="R145:R208" si="16">+S145/$S$472</f>
        <v>9.2495091791031919E-3</v>
      </c>
      <c r="S145" s="223">
        <f t="shared" si="11"/>
        <v>1030847.83</v>
      </c>
      <c r="T145" s="157"/>
      <c r="U145" s="157"/>
      <c r="V145" s="246">
        <f t="shared" ref="V145:V208" si="17">+N145+P145</f>
        <v>26657787.70583326</v>
      </c>
    </row>
    <row r="146" spans="1:22" s="19" customFormat="1" ht="18.75" customHeight="1" x14ac:dyDescent="0.2">
      <c r="A146" s="16"/>
      <c r="B146" s="16"/>
      <c r="C146" s="20" t="s">
        <v>417</v>
      </c>
      <c r="D146" s="19" t="s">
        <v>184</v>
      </c>
      <c r="E146" s="16" t="s">
        <v>4</v>
      </c>
      <c r="F146" s="221">
        <v>0</v>
      </c>
      <c r="G146" s="221">
        <v>370</v>
      </c>
      <c r="I146" s="220" t="s">
        <v>375</v>
      </c>
      <c r="K146" s="247">
        <v>372.6</v>
      </c>
      <c r="L146" s="217">
        <f t="shared" si="13"/>
        <v>137862</v>
      </c>
      <c r="M146" s="217">
        <v>130.18</v>
      </c>
      <c r="N146" s="117">
        <f t="shared" si="15"/>
        <v>137862</v>
      </c>
      <c r="P146" s="17">
        <f t="shared" si="14"/>
        <v>3430511.4105137382</v>
      </c>
      <c r="Q146" s="18"/>
      <c r="R146" s="240">
        <f t="shared" si="16"/>
        <v>1.2381652251763093E-3</v>
      </c>
      <c r="S146" s="223">
        <f t="shared" ref="S146:S209" si="18">+L146+M146</f>
        <v>137992.18</v>
      </c>
      <c r="T146" s="157"/>
      <c r="U146" s="157"/>
      <c r="V146" s="246">
        <f t="shared" si="17"/>
        <v>3568373.4105137382</v>
      </c>
    </row>
    <row r="147" spans="1:22" s="19" customFormat="1" ht="18.75" customHeight="1" x14ac:dyDescent="0.2">
      <c r="A147" s="16"/>
      <c r="B147" s="16"/>
      <c r="C147" s="20" t="s">
        <v>417</v>
      </c>
      <c r="D147" s="19" t="s">
        <v>184</v>
      </c>
      <c r="E147" s="16" t="s">
        <v>4</v>
      </c>
      <c r="F147" s="221">
        <v>0</v>
      </c>
      <c r="G147" s="221">
        <v>89</v>
      </c>
      <c r="I147" s="220" t="s">
        <v>376</v>
      </c>
      <c r="K147" s="247">
        <v>499.25</v>
      </c>
      <c r="L147" s="217">
        <f t="shared" si="13"/>
        <v>44433.25</v>
      </c>
      <c r="M147" s="217">
        <v>130.38</v>
      </c>
      <c r="N147" s="117">
        <f t="shared" si="15"/>
        <v>44433.25</v>
      </c>
      <c r="P147" s="17">
        <f t="shared" si="14"/>
        <v>1107860.1788080479</v>
      </c>
      <c r="Q147" s="18"/>
      <c r="R147" s="240">
        <f t="shared" si="16"/>
        <v>3.9985698445827675E-4</v>
      </c>
      <c r="S147" s="223">
        <f t="shared" si="18"/>
        <v>44563.63</v>
      </c>
      <c r="T147" s="157"/>
      <c r="U147" s="157"/>
      <c r="V147" s="246">
        <f t="shared" si="17"/>
        <v>1152293.4288080479</v>
      </c>
    </row>
    <row r="148" spans="1:22" s="19" customFormat="1" ht="18.75" customHeight="1" x14ac:dyDescent="0.2">
      <c r="A148" s="16"/>
      <c r="B148" s="16"/>
      <c r="C148" s="20" t="s">
        <v>417</v>
      </c>
      <c r="D148" s="19" t="s">
        <v>184</v>
      </c>
      <c r="E148" s="16" t="s">
        <v>4</v>
      </c>
      <c r="F148" s="221">
        <v>0</v>
      </c>
      <c r="G148" s="221">
        <v>23</v>
      </c>
      <c r="I148" s="220" t="s">
        <v>377</v>
      </c>
      <c r="K148" s="247">
        <v>659.05</v>
      </c>
      <c r="L148" s="217">
        <f t="shared" si="13"/>
        <v>15158.15</v>
      </c>
      <c r="M148" s="217">
        <v>130.63</v>
      </c>
      <c r="N148" s="117">
        <f t="shared" si="15"/>
        <v>15158.15</v>
      </c>
      <c r="P148" s="17">
        <f t="shared" si="14"/>
        <v>380081.93104010838</v>
      </c>
      <c r="Q148" s="18"/>
      <c r="R148" s="240">
        <f t="shared" si="16"/>
        <v>1.3718194561004147E-4</v>
      </c>
      <c r="S148" s="223">
        <f t="shared" si="18"/>
        <v>15288.779999999999</v>
      </c>
      <c r="T148" s="157"/>
      <c r="U148" s="157"/>
      <c r="V148" s="246">
        <f t="shared" si="17"/>
        <v>395240.0810401084</v>
      </c>
    </row>
    <row r="149" spans="1:22" s="19" customFormat="1" ht="18.75" customHeight="1" x14ac:dyDescent="0.2">
      <c r="A149" s="16"/>
      <c r="B149" s="16"/>
      <c r="C149" s="20" t="s">
        <v>417</v>
      </c>
      <c r="D149" s="19" t="s">
        <v>184</v>
      </c>
      <c r="E149" s="16" t="s">
        <v>4</v>
      </c>
      <c r="F149" s="221">
        <v>0</v>
      </c>
      <c r="G149" s="221">
        <v>18</v>
      </c>
      <c r="I149" s="220" t="s">
        <v>378</v>
      </c>
      <c r="K149" s="247">
        <v>843.55</v>
      </c>
      <c r="L149" s="217">
        <f t="shared" si="13"/>
        <v>15183.9</v>
      </c>
      <c r="M149" s="217">
        <v>130.93</v>
      </c>
      <c r="N149" s="117">
        <f t="shared" si="15"/>
        <v>15183.9</v>
      </c>
      <c r="P149" s="17">
        <f t="shared" si="14"/>
        <v>380729.53891356825</v>
      </c>
      <c r="Q149" s="18"/>
      <c r="R149" s="240">
        <f t="shared" si="16"/>
        <v>1.3741568497205347E-4</v>
      </c>
      <c r="S149" s="223">
        <f t="shared" si="18"/>
        <v>15314.83</v>
      </c>
      <c r="T149" s="157"/>
      <c r="U149" s="157"/>
      <c r="V149" s="246">
        <f t="shared" si="17"/>
        <v>395913.43891356827</v>
      </c>
    </row>
    <row r="150" spans="1:22" s="19" customFormat="1" ht="18.75" customHeight="1" x14ac:dyDescent="0.2">
      <c r="A150" s="16"/>
      <c r="B150" s="16"/>
      <c r="C150" s="20" t="s">
        <v>418</v>
      </c>
      <c r="D150" s="19" t="s">
        <v>419</v>
      </c>
      <c r="E150" s="16" t="s">
        <v>4</v>
      </c>
      <c r="F150" s="221">
        <v>0</v>
      </c>
      <c r="G150" s="221">
        <v>141</v>
      </c>
      <c r="I150" s="220" t="s">
        <v>374</v>
      </c>
      <c r="K150" s="247">
        <v>274.2</v>
      </c>
      <c r="L150" s="217">
        <f t="shared" si="13"/>
        <v>38662.199999999997</v>
      </c>
      <c r="M150" s="217">
        <v>130.03</v>
      </c>
      <c r="N150" s="117">
        <f t="shared" si="15"/>
        <v>38662.199999999997</v>
      </c>
      <c r="P150" s="17">
        <f t="shared" si="14"/>
        <v>964382.09508881834</v>
      </c>
      <c r="Q150" s="18"/>
      <c r="R150" s="240">
        <f t="shared" si="16"/>
        <v>3.4807182691831652E-4</v>
      </c>
      <c r="S150" s="223">
        <f t="shared" si="18"/>
        <v>38792.229999999996</v>
      </c>
      <c r="T150" s="157"/>
      <c r="U150" s="157"/>
      <c r="V150" s="246">
        <f t="shared" si="17"/>
        <v>1003044.2950888183</v>
      </c>
    </row>
    <row r="151" spans="1:22" s="19" customFormat="1" ht="18.75" customHeight="1" x14ac:dyDescent="0.2">
      <c r="A151" s="16"/>
      <c r="B151" s="16"/>
      <c r="C151" s="20" t="s">
        <v>418</v>
      </c>
      <c r="D151" s="19" t="s">
        <v>419</v>
      </c>
      <c r="E151" s="16" t="s">
        <v>4</v>
      </c>
      <c r="F151" s="221">
        <v>0</v>
      </c>
      <c r="G151" s="221">
        <v>75</v>
      </c>
      <c r="I151" s="220" t="s">
        <v>375</v>
      </c>
      <c r="K151" s="247">
        <v>372.6</v>
      </c>
      <c r="L151" s="217">
        <f t="shared" si="13"/>
        <v>27945</v>
      </c>
      <c r="M151" s="217">
        <v>130.18</v>
      </c>
      <c r="N151" s="117">
        <f t="shared" si="15"/>
        <v>27945</v>
      </c>
      <c r="P151" s="17">
        <f t="shared" si="14"/>
        <v>697954.22713248746</v>
      </c>
      <c r="Q151" s="18"/>
      <c r="R151" s="240">
        <f t="shared" si="16"/>
        <v>2.5191073556896787E-4</v>
      </c>
      <c r="S151" s="223">
        <f t="shared" si="18"/>
        <v>28075.18</v>
      </c>
      <c r="T151" s="157"/>
      <c r="U151" s="157"/>
      <c r="V151" s="246">
        <f t="shared" si="17"/>
        <v>725899.22713248746</v>
      </c>
    </row>
    <row r="152" spans="1:22" s="19" customFormat="1" ht="18.75" customHeight="1" x14ac:dyDescent="0.2">
      <c r="A152" s="16"/>
      <c r="B152" s="16"/>
      <c r="C152" s="20" t="s">
        <v>418</v>
      </c>
      <c r="D152" s="19" t="s">
        <v>419</v>
      </c>
      <c r="E152" s="16" t="s">
        <v>4</v>
      </c>
      <c r="F152" s="221">
        <v>0</v>
      </c>
      <c r="G152" s="221">
        <v>9</v>
      </c>
      <c r="I152" s="220" t="s">
        <v>376</v>
      </c>
      <c r="K152" s="247">
        <v>499.25</v>
      </c>
      <c r="L152" s="217">
        <f>+K152*G152</f>
        <v>4493.25</v>
      </c>
      <c r="M152" s="217">
        <v>130.38</v>
      </c>
      <c r="N152" s="117">
        <f t="shared" si="15"/>
        <v>4493.25</v>
      </c>
      <c r="P152" s="17">
        <f t="shared" si="14"/>
        <v>114944.30679328086</v>
      </c>
      <c r="Q152" s="18"/>
      <c r="R152" s="240">
        <f t="shared" si="16"/>
        <v>4.1486538440670619E-5</v>
      </c>
      <c r="S152" s="223">
        <f t="shared" si="18"/>
        <v>4623.63</v>
      </c>
      <c r="T152" s="157"/>
      <c r="U152" s="157"/>
      <c r="V152" s="246">
        <f t="shared" si="17"/>
        <v>119437.55679328086</v>
      </c>
    </row>
    <row r="153" spans="1:22" s="19" customFormat="1" ht="18.75" customHeight="1" x14ac:dyDescent="0.2">
      <c r="A153" s="16"/>
      <c r="B153" s="16"/>
      <c r="C153" s="20" t="s">
        <v>418</v>
      </c>
      <c r="D153" s="19" t="s">
        <v>419</v>
      </c>
      <c r="E153" s="16" t="s">
        <v>4</v>
      </c>
      <c r="F153" s="221">
        <v>0</v>
      </c>
      <c r="G153" s="221">
        <v>2</v>
      </c>
      <c r="I153" s="220" t="s">
        <v>377</v>
      </c>
      <c r="K153" s="247">
        <v>659.05</v>
      </c>
      <c r="L153" s="217">
        <f t="shared" si="13"/>
        <v>1318.1</v>
      </c>
      <c r="M153" s="217">
        <v>130.63</v>
      </c>
      <c r="N153" s="117">
        <f t="shared" si="15"/>
        <v>1318.1</v>
      </c>
      <c r="P153" s="17">
        <f t="shared" si="14"/>
        <v>36015.698829843604</v>
      </c>
      <c r="Q153" s="18"/>
      <c r="R153" s="240">
        <f t="shared" si="16"/>
        <v>1.2999048979947086E-5</v>
      </c>
      <c r="S153" s="223">
        <f t="shared" si="18"/>
        <v>1448.73</v>
      </c>
      <c r="T153" s="157"/>
      <c r="U153" s="157"/>
      <c r="V153" s="246">
        <f t="shared" si="17"/>
        <v>37333.798829843603</v>
      </c>
    </row>
    <row r="154" spans="1:22" s="19" customFormat="1" ht="18.75" customHeight="1" x14ac:dyDescent="0.2">
      <c r="A154" s="16"/>
      <c r="B154" s="16"/>
      <c r="C154" s="20" t="s">
        <v>418</v>
      </c>
      <c r="D154" s="19" t="s">
        <v>419</v>
      </c>
      <c r="E154" s="16" t="s">
        <v>4</v>
      </c>
      <c r="F154" s="221">
        <v>0</v>
      </c>
      <c r="G154" s="221">
        <v>6</v>
      </c>
      <c r="I154" s="220" t="s">
        <v>378</v>
      </c>
      <c r="K154" s="247">
        <v>843.55</v>
      </c>
      <c r="L154" s="217">
        <f t="shared" si="13"/>
        <v>5061.2999999999993</v>
      </c>
      <c r="M154" s="217">
        <v>130.93</v>
      </c>
      <c r="N154" s="117">
        <f t="shared" si="15"/>
        <v>5061.2999999999993</v>
      </c>
      <c r="P154" s="17">
        <f t="shared" si="14"/>
        <v>129079.80916753213</v>
      </c>
      <c r="Q154" s="18"/>
      <c r="R154" s="240">
        <f t="shared" si="16"/>
        <v>4.6588427163895722E-5</v>
      </c>
      <c r="S154" s="223">
        <f t="shared" si="18"/>
        <v>5192.2299999999996</v>
      </c>
      <c r="T154" s="157"/>
      <c r="U154" s="157"/>
      <c r="V154" s="246">
        <f t="shared" si="17"/>
        <v>134141.10916753212</v>
      </c>
    </row>
    <row r="155" spans="1:22" s="19" customFormat="1" ht="18.75" customHeight="1" x14ac:dyDescent="0.2">
      <c r="A155" s="16"/>
      <c r="B155" s="16"/>
      <c r="C155" s="20" t="s">
        <v>420</v>
      </c>
      <c r="D155" s="19" t="s">
        <v>421</v>
      </c>
      <c r="E155" s="16" t="s">
        <v>4</v>
      </c>
      <c r="F155" s="221">
        <v>0</v>
      </c>
      <c r="G155" s="221">
        <v>9</v>
      </c>
      <c r="I155" s="220" t="s">
        <v>374</v>
      </c>
      <c r="K155" s="247">
        <v>264.89999999999998</v>
      </c>
      <c r="L155" s="217">
        <f t="shared" si="13"/>
        <v>2384.1</v>
      </c>
      <c r="M155" s="217">
        <v>129.77000000000001</v>
      </c>
      <c r="N155" s="117">
        <f t="shared" si="15"/>
        <v>2384.1</v>
      </c>
      <c r="P155" s="17">
        <f t="shared" si="14"/>
        <v>62495.278497289997</v>
      </c>
      <c r="Q155" s="18"/>
      <c r="R155" s="240">
        <f t="shared" si="16"/>
        <v>2.2556252206566841E-5</v>
      </c>
      <c r="S155" s="223">
        <f t="shared" si="18"/>
        <v>2513.87</v>
      </c>
      <c r="T155" s="157"/>
      <c r="U155" s="157"/>
      <c r="V155" s="246">
        <f t="shared" si="17"/>
        <v>64879.378497289996</v>
      </c>
    </row>
    <row r="156" spans="1:22" s="19" customFormat="1" ht="18.75" customHeight="1" x14ac:dyDescent="0.2">
      <c r="A156" s="16"/>
      <c r="B156" s="16"/>
      <c r="C156" s="20" t="s">
        <v>420</v>
      </c>
      <c r="D156" s="19" t="s">
        <v>421</v>
      </c>
      <c r="E156" s="16" t="s">
        <v>4</v>
      </c>
      <c r="F156" s="221">
        <v>0</v>
      </c>
      <c r="G156" s="221">
        <v>4</v>
      </c>
      <c r="I156" s="220" t="s">
        <v>378</v>
      </c>
      <c r="K156" s="247">
        <v>717.85</v>
      </c>
      <c r="L156" s="217">
        <f t="shared" si="13"/>
        <v>2871.4</v>
      </c>
      <c r="M156" s="217">
        <v>130.66999999999999</v>
      </c>
      <c r="N156" s="117">
        <f t="shared" si="15"/>
        <v>2871.4</v>
      </c>
      <c r="P156" s="17">
        <f t="shared" si="14"/>
        <v>74632.021830229642</v>
      </c>
      <c r="Q156" s="18"/>
      <c r="R156" s="240">
        <f t="shared" si="16"/>
        <v>2.6936734223236731E-5</v>
      </c>
      <c r="S156" s="223">
        <f t="shared" si="18"/>
        <v>3002.07</v>
      </c>
      <c r="T156" s="157"/>
      <c r="U156" s="157"/>
      <c r="V156" s="246">
        <f t="shared" si="17"/>
        <v>77503.421830229636</v>
      </c>
    </row>
    <row r="157" spans="1:22" s="19" customFormat="1" ht="18.75" customHeight="1" x14ac:dyDescent="0.2">
      <c r="A157" s="16"/>
      <c r="B157" s="16"/>
      <c r="C157" s="20" t="s">
        <v>422</v>
      </c>
      <c r="D157" s="19" t="s">
        <v>185</v>
      </c>
      <c r="E157" s="16" t="s">
        <v>4</v>
      </c>
      <c r="F157" s="221">
        <v>0</v>
      </c>
      <c r="G157" s="221">
        <v>812</v>
      </c>
      <c r="I157" s="220" t="s">
        <v>374</v>
      </c>
      <c r="K157" s="247">
        <v>274.2</v>
      </c>
      <c r="L157" s="217">
        <f t="shared" si="13"/>
        <v>222650.4</v>
      </c>
      <c r="M157" s="217">
        <v>130.03</v>
      </c>
      <c r="N157" s="117">
        <f t="shared" si="15"/>
        <v>222650.4</v>
      </c>
      <c r="P157" s="17">
        <f t="shared" si="14"/>
        <v>5538363.1677835444</v>
      </c>
      <c r="Q157" s="18"/>
      <c r="R157" s="240">
        <f t="shared" si="16"/>
        <v>1.9989464712842787E-3</v>
      </c>
      <c r="S157" s="223">
        <f t="shared" si="18"/>
        <v>222780.43</v>
      </c>
      <c r="T157" s="157"/>
      <c r="U157" s="157"/>
      <c r="V157" s="246">
        <f t="shared" si="17"/>
        <v>5761013.5677835448</v>
      </c>
    </row>
    <row r="158" spans="1:22" s="19" customFormat="1" ht="18.75" customHeight="1" x14ac:dyDescent="0.2">
      <c r="A158" s="16"/>
      <c r="B158" s="16"/>
      <c r="C158" s="20" t="s">
        <v>422</v>
      </c>
      <c r="D158" s="19" t="s">
        <v>185</v>
      </c>
      <c r="E158" s="16" t="s">
        <v>4</v>
      </c>
      <c r="F158" s="221">
        <v>0</v>
      </c>
      <c r="G158" s="221">
        <v>426</v>
      </c>
      <c r="I158" s="220" t="s">
        <v>375</v>
      </c>
      <c r="K158" s="247">
        <v>372.6</v>
      </c>
      <c r="L158" s="217">
        <f t="shared" si="13"/>
        <v>158727.6</v>
      </c>
      <c r="M158" s="217">
        <v>130.18</v>
      </c>
      <c r="N158" s="117">
        <f t="shared" si="15"/>
        <v>158727.6</v>
      </c>
      <c r="P158" s="17">
        <f t="shared" si="14"/>
        <v>3949234.1300708568</v>
      </c>
      <c r="Q158" s="18"/>
      <c r="R158" s="240">
        <f t="shared" si="16"/>
        <v>1.4253864164238046E-3</v>
      </c>
      <c r="S158" s="223">
        <f t="shared" si="18"/>
        <v>158857.78</v>
      </c>
      <c r="T158" s="157"/>
      <c r="U158" s="157"/>
      <c r="V158" s="246">
        <f t="shared" si="17"/>
        <v>4107961.7300708569</v>
      </c>
    </row>
    <row r="159" spans="1:22" s="19" customFormat="1" ht="18.75" customHeight="1" x14ac:dyDescent="0.2">
      <c r="A159" s="16"/>
      <c r="B159" s="16"/>
      <c r="C159" s="20" t="s">
        <v>422</v>
      </c>
      <c r="D159" s="19" t="s">
        <v>185</v>
      </c>
      <c r="E159" s="16" t="s">
        <v>4</v>
      </c>
      <c r="F159" s="221">
        <v>0</v>
      </c>
      <c r="G159" s="221">
        <v>129</v>
      </c>
      <c r="I159" s="220" t="s">
        <v>376</v>
      </c>
      <c r="K159" s="247">
        <v>499.25</v>
      </c>
      <c r="L159" s="217">
        <f t="shared" si="13"/>
        <v>64403.25</v>
      </c>
      <c r="M159" s="217">
        <v>130.38</v>
      </c>
      <c r="N159" s="117">
        <f t="shared" si="15"/>
        <v>64403.25</v>
      </c>
      <c r="P159" s="17">
        <f t="shared" si="14"/>
        <v>1604318.1148154314</v>
      </c>
      <c r="Q159" s="18"/>
      <c r="R159" s="240">
        <f t="shared" si="16"/>
        <v>5.7904220746707986E-4</v>
      </c>
      <c r="S159" s="223">
        <f t="shared" si="18"/>
        <v>64533.63</v>
      </c>
      <c r="T159" s="157"/>
      <c r="U159" s="157"/>
      <c r="V159" s="246">
        <f t="shared" si="17"/>
        <v>1668721.3648154314</v>
      </c>
    </row>
    <row r="160" spans="1:22" s="19" customFormat="1" ht="18.75" customHeight="1" x14ac:dyDescent="0.2">
      <c r="A160" s="16"/>
      <c r="B160" s="16"/>
      <c r="C160" s="20" t="s">
        <v>422</v>
      </c>
      <c r="D160" s="19" t="s">
        <v>185</v>
      </c>
      <c r="E160" s="16" t="s">
        <v>4</v>
      </c>
      <c r="F160" s="221">
        <v>0</v>
      </c>
      <c r="G160" s="221">
        <v>31</v>
      </c>
      <c r="I160" s="220" t="s">
        <v>377</v>
      </c>
      <c r="K160" s="247">
        <v>659.05</v>
      </c>
      <c r="L160" s="217">
        <f t="shared" si="13"/>
        <v>20430.55</v>
      </c>
      <c r="M160" s="217">
        <v>130.63</v>
      </c>
      <c r="N160" s="117">
        <f t="shared" si="15"/>
        <v>20430.55</v>
      </c>
      <c r="P160" s="17">
        <f t="shared" si="14"/>
        <v>511154.7814059236</v>
      </c>
      <c r="Q160" s="18"/>
      <c r="R160" s="240">
        <f t="shared" si="16"/>
        <v>1.8448971575483935E-4</v>
      </c>
      <c r="S160" s="223">
        <f t="shared" si="18"/>
        <v>20561.18</v>
      </c>
      <c r="T160" s="157"/>
      <c r="U160" s="157"/>
      <c r="V160" s="246">
        <f t="shared" si="17"/>
        <v>531585.33140592359</v>
      </c>
    </row>
    <row r="161" spans="1:22" s="19" customFormat="1" ht="18.75" customHeight="1" x14ac:dyDescent="0.2">
      <c r="A161" s="16"/>
      <c r="B161" s="16"/>
      <c r="C161" s="20" t="s">
        <v>422</v>
      </c>
      <c r="D161" s="19" t="s">
        <v>185</v>
      </c>
      <c r="E161" s="16" t="s">
        <v>4</v>
      </c>
      <c r="F161" s="221">
        <v>0</v>
      </c>
      <c r="G161" s="221">
        <v>11</v>
      </c>
      <c r="I161" s="220" t="s">
        <v>378</v>
      </c>
      <c r="K161" s="247">
        <v>843.55</v>
      </c>
      <c r="L161" s="217">
        <f t="shared" si="13"/>
        <v>9279.0499999999993</v>
      </c>
      <c r="M161" s="217">
        <v>130.93</v>
      </c>
      <c r="N161" s="117">
        <f t="shared" si="15"/>
        <v>9279.0499999999993</v>
      </c>
      <c r="P161" s="17">
        <f t="shared" si="14"/>
        <v>233933.86322838051</v>
      </c>
      <c r="Q161" s="18"/>
      <c r="R161" s="240">
        <f t="shared" si="16"/>
        <v>8.443311791729478E-5</v>
      </c>
      <c r="S161" s="223">
        <f t="shared" si="18"/>
        <v>9409.98</v>
      </c>
      <c r="T161" s="157"/>
      <c r="U161" s="157"/>
      <c r="V161" s="246">
        <f t="shared" si="17"/>
        <v>243212.91322838049</v>
      </c>
    </row>
    <row r="162" spans="1:22" s="19" customFormat="1" ht="18.75" customHeight="1" x14ac:dyDescent="0.2">
      <c r="A162" s="16"/>
      <c r="B162" s="16"/>
      <c r="C162" s="20" t="s">
        <v>423</v>
      </c>
      <c r="D162" s="19" t="s">
        <v>186</v>
      </c>
      <c r="E162" s="16" t="s">
        <v>4</v>
      </c>
      <c r="F162" s="221">
        <v>20</v>
      </c>
      <c r="G162" s="221">
        <v>0</v>
      </c>
      <c r="I162" s="220" t="s">
        <v>374</v>
      </c>
      <c r="K162" s="247">
        <v>6189.2</v>
      </c>
      <c r="L162" s="217">
        <f t="shared" ref="L162:L192" si="19">+K162*F162</f>
        <v>123784</v>
      </c>
      <c r="M162" s="217">
        <v>4838.41</v>
      </c>
      <c r="N162" s="117">
        <f t="shared" si="15"/>
        <v>123784</v>
      </c>
      <c r="P162" s="17">
        <f t="shared" si="14"/>
        <v>3197577.1754078846</v>
      </c>
      <c r="Q162" s="18"/>
      <c r="R162" s="240">
        <f t="shared" si="16"/>
        <v>1.1540929003394946E-3</v>
      </c>
      <c r="S162" s="223">
        <f t="shared" si="18"/>
        <v>128622.41</v>
      </c>
      <c r="T162" s="157"/>
      <c r="U162" s="157"/>
      <c r="V162" s="246">
        <f t="shared" si="17"/>
        <v>3321361.1754078846</v>
      </c>
    </row>
    <row r="163" spans="1:22" s="19" customFormat="1" ht="18.75" customHeight="1" x14ac:dyDescent="0.2">
      <c r="A163" s="16"/>
      <c r="B163" s="16"/>
      <c r="C163" s="20" t="s">
        <v>423</v>
      </c>
      <c r="D163" s="19" t="s">
        <v>186</v>
      </c>
      <c r="E163" s="16" t="s">
        <v>4</v>
      </c>
      <c r="F163" s="221">
        <v>28</v>
      </c>
      <c r="G163" s="221">
        <v>0</v>
      </c>
      <c r="I163" s="220" t="s">
        <v>375</v>
      </c>
      <c r="K163" s="247">
        <v>8417.25</v>
      </c>
      <c r="L163" s="217">
        <f t="shared" si="19"/>
        <v>235683</v>
      </c>
      <c r="M163" s="217">
        <v>4838.41</v>
      </c>
      <c r="N163" s="117">
        <f t="shared" si="15"/>
        <v>235683</v>
      </c>
      <c r="P163" s="17">
        <f t="shared" si="14"/>
        <v>5979407.2495836597</v>
      </c>
      <c r="Q163" s="18"/>
      <c r="R163" s="240">
        <f t="shared" si="16"/>
        <v>2.1581313214442547E-3</v>
      </c>
      <c r="S163" s="223">
        <f t="shared" si="18"/>
        <v>240521.41</v>
      </c>
      <c r="T163" s="157"/>
      <c r="U163" s="157"/>
      <c r="V163" s="246">
        <f t="shared" si="17"/>
        <v>6215090.2495836597</v>
      </c>
    </row>
    <row r="164" spans="1:22" s="19" customFormat="1" ht="18.75" customHeight="1" x14ac:dyDescent="0.2">
      <c r="A164" s="16"/>
      <c r="B164" s="16"/>
      <c r="C164" s="20" t="s">
        <v>423</v>
      </c>
      <c r="D164" s="19" t="s">
        <v>186</v>
      </c>
      <c r="E164" s="16" t="s">
        <v>4</v>
      </c>
      <c r="F164" s="221">
        <v>11</v>
      </c>
      <c r="G164" s="221">
        <v>0</v>
      </c>
      <c r="I164" s="220" t="s">
        <v>376</v>
      </c>
      <c r="K164" s="247">
        <v>11279.1</v>
      </c>
      <c r="L164" s="217">
        <f t="shared" si="19"/>
        <v>124070.1</v>
      </c>
      <c r="M164" s="217">
        <v>4838.41</v>
      </c>
      <c r="N164" s="117">
        <f t="shared" si="15"/>
        <v>124070.1</v>
      </c>
      <c r="P164" s="17">
        <f t="shared" si="14"/>
        <v>3204689.6749317562</v>
      </c>
      <c r="Q164" s="18"/>
      <c r="R164" s="240">
        <f t="shared" si="16"/>
        <v>1.1566599955975226E-3</v>
      </c>
      <c r="S164" s="223">
        <f t="shared" si="18"/>
        <v>128908.51000000001</v>
      </c>
      <c r="T164" s="157"/>
      <c r="U164" s="157"/>
      <c r="V164" s="246">
        <f t="shared" si="17"/>
        <v>3328759.7749317563</v>
      </c>
    </row>
    <row r="165" spans="1:22" s="19" customFormat="1" ht="18.75" customHeight="1" x14ac:dyDescent="0.2">
      <c r="A165" s="16"/>
      <c r="B165" s="16"/>
      <c r="C165" s="20" t="s">
        <v>423</v>
      </c>
      <c r="D165" s="19" t="s">
        <v>186</v>
      </c>
      <c r="E165" s="16" t="s">
        <v>4</v>
      </c>
      <c r="F165" s="221">
        <v>1</v>
      </c>
      <c r="G165" s="221">
        <v>0</v>
      </c>
      <c r="I165" s="220" t="s">
        <v>382</v>
      </c>
      <c r="K165" s="247">
        <v>13083.8</v>
      </c>
      <c r="L165" s="217">
        <f t="shared" si="19"/>
        <v>13083.8</v>
      </c>
      <c r="M165" s="217">
        <v>4838.41</v>
      </c>
      <c r="N165" s="117">
        <f t="shared" si="15"/>
        <v>13083.8</v>
      </c>
      <c r="P165" s="17">
        <f t="shared" si="14"/>
        <v>445549.49350480171</v>
      </c>
      <c r="Q165" s="18"/>
      <c r="R165" s="240">
        <f t="shared" si="16"/>
        <v>1.6081097624740114E-4</v>
      </c>
      <c r="S165" s="223">
        <f t="shared" si="18"/>
        <v>17922.21</v>
      </c>
      <c r="T165" s="157"/>
      <c r="U165" s="157"/>
      <c r="V165" s="246">
        <f t="shared" si="17"/>
        <v>458633.2935048017</v>
      </c>
    </row>
    <row r="166" spans="1:22" s="19" customFormat="1" ht="18.75" customHeight="1" x14ac:dyDescent="0.2">
      <c r="A166" s="16"/>
      <c r="B166" s="16"/>
      <c r="C166" s="20" t="s">
        <v>423</v>
      </c>
      <c r="D166" s="19" t="s">
        <v>186</v>
      </c>
      <c r="E166" s="16" t="s">
        <v>4</v>
      </c>
      <c r="F166" s="221">
        <v>7</v>
      </c>
      <c r="G166" s="221">
        <v>0</v>
      </c>
      <c r="I166" s="220" t="s">
        <v>377</v>
      </c>
      <c r="K166" s="247">
        <v>14888.5</v>
      </c>
      <c r="L166" s="217">
        <f t="shared" si="19"/>
        <v>104219.5</v>
      </c>
      <c r="M166" s="217">
        <v>4838.41</v>
      </c>
      <c r="N166" s="117">
        <f t="shared" si="15"/>
        <v>104219.5</v>
      </c>
      <c r="P166" s="17">
        <f t="shared" si="14"/>
        <v>2711200.0452618427</v>
      </c>
      <c r="Q166" s="18"/>
      <c r="R166" s="240">
        <f t="shared" si="16"/>
        <v>9.7854611538427533E-4</v>
      </c>
      <c r="S166" s="223">
        <f t="shared" si="18"/>
        <v>109057.91</v>
      </c>
      <c r="T166" s="157"/>
      <c r="U166" s="157"/>
      <c r="V166" s="246">
        <f t="shared" si="17"/>
        <v>2815419.5452618427</v>
      </c>
    </row>
    <row r="167" spans="1:22" s="19" customFormat="1" ht="18.75" customHeight="1" x14ac:dyDescent="0.2">
      <c r="A167" s="16"/>
      <c r="B167" s="16"/>
      <c r="C167" s="20" t="s">
        <v>423</v>
      </c>
      <c r="D167" s="19" t="s">
        <v>186</v>
      </c>
      <c r="E167" s="16" t="s">
        <v>4</v>
      </c>
      <c r="F167" s="221">
        <v>3</v>
      </c>
      <c r="G167" s="221">
        <v>0</v>
      </c>
      <c r="I167" s="220" t="s">
        <v>378</v>
      </c>
      <c r="K167" s="247">
        <v>19057.2</v>
      </c>
      <c r="L167" s="217">
        <f t="shared" si="19"/>
        <v>57171.600000000006</v>
      </c>
      <c r="M167" s="217">
        <v>4838.41</v>
      </c>
      <c r="N167" s="117">
        <f t="shared" si="15"/>
        <v>57171.600000000006</v>
      </c>
      <c r="P167" s="17">
        <f t="shared" si="14"/>
        <v>1541580.4494941023</v>
      </c>
      <c r="Q167" s="18"/>
      <c r="R167" s="240">
        <f t="shared" si="16"/>
        <v>5.5639847123826298E-4</v>
      </c>
      <c r="S167" s="223">
        <f t="shared" si="18"/>
        <v>62010.010000000009</v>
      </c>
      <c r="T167" s="157"/>
      <c r="U167" s="157"/>
      <c r="V167" s="246">
        <f t="shared" si="17"/>
        <v>1598752.0494941024</v>
      </c>
    </row>
    <row r="168" spans="1:22" s="19" customFormat="1" ht="18.75" customHeight="1" x14ac:dyDescent="0.2">
      <c r="A168" s="16"/>
      <c r="B168" s="16"/>
      <c r="C168" s="20" t="s">
        <v>423</v>
      </c>
      <c r="D168" s="19" t="s">
        <v>186</v>
      </c>
      <c r="E168" s="16" t="s">
        <v>4</v>
      </c>
      <c r="F168" s="221">
        <v>1</v>
      </c>
      <c r="G168" s="221">
        <v>0</v>
      </c>
      <c r="I168" s="220" t="s">
        <v>379</v>
      </c>
      <c r="K168" s="247">
        <v>24393.25</v>
      </c>
      <c r="L168" s="217">
        <f t="shared" si="19"/>
        <v>24393.25</v>
      </c>
      <c r="M168" s="217">
        <v>4838.41</v>
      </c>
      <c r="N168" s="117">
        <f t="shared" si="15"/>
        <v>24393.25</v>
      </c>
      <c r="P168" s="17">
        <f t="shared" si="14"/>
        <v>726704.53628791147</v>
      </c>
      <c r="Q168" s="18"/>
      <c r="R168" s="240">
        <f t="shared" si="16"/>
        <v>2.6228750706146762E-4</v>
      </c>
      <c r="S168" s="223">
        <f t="shared" si="18"/>
        <v>29231.66</v>
      </c>
      <c r="T168" s="157"/>
      <c r="U168" s="157"/>
      <c r="V168" s="246">
        <f t="shared" si="17"/>
        <v>751097.78628791147</v>
      </c>
    </row>
    <row r="169" spans="1:22" s="19" customFormat="1" ht="18.75" customHeight="1" x14ac:dyDescent="0.2">
      <c r="A169" s="16"/>
      <c r="B169" s="16"/>
      <c r="C169" s="20" t="s">
        <v>424</v>
      </c>
      <c r="D169" s="19" t="s">
        <v>187</v>
      </c>
      <c r="E169" s="16" t="s">
        <v>4</v>
      </c>
      <c r="F169" s="221">
        <v>1</v>
      </c>
      <c r="G169" s="221">
        <v>0</v>
      </c>
      <c r="I169" s="220" t="s">
        <v>374</v>
      </c>
      <c r="K169" s="247">
        <v>11143.8</v>
      </c>
      <c r="L169" s="217">
        <f t="shared" si="19"/>
        <v>11143.8</v>
      </c>
      <c r="M169" s="217">
        <v>10054.920000000002</v>
      </c>
      <c r="N169" s="117">
        <f t="shared" si="15"/>
        <v>11143.8</v>
      </c>
      <c r="P169" s="17">
        <f t="shared" si="14"/>
        <v>527004.14507753844</v>
      </c>
      <c r="Q169" s="18"/>
      <c r="R169" s="240">
        <f t="shared" si="16"/>
        <v>1.9021018381077488E-4</v>
      </c>
      <c r="S169" s="223">
        <f t="shared" si="18"/>
        <v>21198.720000000001</v>
      </c>
      <c r="T169" s="157"/>
      <c r="U169" s="157"/>
      <c r="V169" s="246">
        <f t="shared" si="17"/>
        <v>538147.94507753849</v>
      </c>
    </row>
    <row r="170" spans="1:22" s="19" customFormat="1" ht="18.75" customHeight="1" x14ac:dyDescent="0.2">
      <c r="A170" s="16"/>
      <c r="B170" s="16"/>
      <c r="C170" s="20" t="s">
        <v>424</v>
      </c>
      <c r="D170" s="19" t="s">
        <v>187</v>
      </c>
      <c r="E170" s="16" t="s">
        <v>4</v>
      </c>
      <c r="F170" s="221">
        <v>2</v>
      </c>
      <c r="G170" s="221">
        <v>0</v>
      </c>
      <c r="I170" s="220" t="s">
        <v>375</v>
      </c>
      <c r="K170" s="247">
        <v>13531.8</v>
      </c>
      <c r="L170" s="217">
        <f t="shared" si="19"/>
        <v>27063.599999999999</v>
      </c>
      <c r="M170" s="217">
        <v>10054.920000000002</v>
      </c>
      <c r="N170" s="117">
        <f t="shared" si="15"/>
        <v>27063.599999999999</v>
      </c>
      <c r="P170" s="17">
        <f t="shared" si="14"/>
        <v>922773.35136949364</v>
      </c>
      <c r="Q170" s="18"/>
      <c r="R170" s="240">
        <f t="shared" si="16"/>
        <v>3.330540953408472E-4</v>
      </c>
      <c r="S170" s="223">
        <f t="shared" si="18"/>
        <v>37118.520000000004</v>
      </c>
      <c r="T170" s="157"/>
      <c r="U170" s="157"/>
      <c r="V170" s="246">
        <f t="shared" si="17"/>
        <v>949836.95136949362</v>
      </c>
    </row>
    <row r="171" spans="1:22" s="19" customFormat="1" ht="18.75" customHeight="1" x14ac:dyDescent="0.2">
      <c r="A171" s="16"/>
      <c r="B171" s="16"/>
      <c r="C171" s="20" t="s">
        <v>424</v>
      </c>
      <c r="D171" s="19" t="s">
        <v>187</v>
      </c>
      <c r="E171" s="16" t="s">
        <v>4</v>
      </c>
      <c r="F171" s="221">
        <v>2</v>
      </c>
      <c r="G171" s="221">
        <v>0</v>
      </c>
      <c r="I171" s="220" t="s">
        <v>376</v>
      </c>
      <c r="K171" s="247">
        <v>16270.45</v>
      </c>
      <c r="L171" s="217">
        <f t="shared" si="19"/>
        <v>32540.9</v>
      </c>
      <c r="M171" s="217">
        <v>10054.920000000002</v>
      </c>
      <c r="N171" s="117">
        <f t="shared" si="15"/>
        <v>32540.9</v>
      </c>
      <c r="P171" s="17">
        <f t="shared" si="14"/>
        <v>1058940.054068204</v>
      </c>
      <c r="Q171" s="18"/>
      <c r="R171" s="240">
        <f t="shared" si="16"/>
        <v>3.8220037586093322E-4</v>
      </c>
      <c r="S171" s="223">
        <f t="shared" si="18"/>
        <v>42595.820000000007</v>
      </c>
      <c r="T171" s="157"/>
      <c r="U171" s="157"/>
      <c r="V171" s="246">
        <f t="shared" si="17"/>
        <v>1091480.9540682039</v>
      </c>
    </row>
    <row r="172" spans="1:22" s="19" customFormat="1" ht="18.75" customHeight="1" x14ac:dyDescent="0.2">
      <c r="A172" s="16"/>
      <c r="B172" s="16"/>
      <c r="C172" s="20" t="s">
        <v>424</v>
      </c>
      <c r="D172" s="19" t="s">
        <v>187</v>
      </c>
      <c r="E172" s="16" t="s">
        <v>4</v>
      </c>
      <c r="F172" s="221">
        <v>1</v>
      </c>
      <c r="G172" s="221">
        <v>0</v>
      </c>
      <c r="I172" s="220" t="s">
        <v>377</v>
      </c>
      <c r="K172" s="247">
        <v>19369.45</v>
      </c>
      <c r="L172" s="217">
        <f t="shared" si="19"/>
        <v>19369.45</v>
      </c>
      <c r="M172" s="217">
        <v>10054.920000000002</v>
      </c>
      <c r="N172" s="117">
        <f t="shared" si="15"/>
        <v>19369.45</v>
      </c>
      <c r="P172" s="17">
        <f t="shared" si="14"/>
        <v>731495.34294028941</v>
      </c>
      <c r="Q172" s="18"/>
      <c r="R172" s="240">
        <f t="shared" si="16"/>
        <v>2.6401663997714252E-4</v>
      </c>
      <c r="S172" s="223">
        <f t="shared" si="18"/>
        <v>29424.370000000003</v>
      </c>
      <c r="T172" s="157"/>
      <c r="U172" s="157"/>
      <c r="V172" s="246">
        <f t="shared" si="17"/>
        <v>750864.79294028936</v>
      </c>
    </row>
    <row r="173" spans="1:22" s="19" customFormat="1" ht="18.75" customHeight="1" x14ac:dyDescent="0.2">
      <c r="A173" s="16"/>
      <c r="B173" s="16"/>
      <c r="C173" s="20" t="s">
        <v>424</v>
      </c>
      <c r="D173" s="19" t="s">
        <v>187</v>
      </c>
      <c r="E173" s="16" t="s">
        <v>4</v>
      </c>
      <c r="F173" s="221">
        <v>1</v>
      </c>
      <c r="G173" s="221">
        <v>0</v>
      </c>
      <c r="I173" s="220" t="s">
        <v>378</v>
      </c>
      <c r="K173" s="247">
        <v>22597.75</v>
      </c>
      <c r="L173" s="217">
        <f t="shared" si="19"/>
        <v>22597.75</v>
      </c>
      <c r="M173" s="217">
        <v>10054.920000000002</v>
      </c>
      <c r="N173" s="117">
        <f t="shared" si="15"/>
        <v>22597.75</v>
      </c>
      <c r="P173" s="17">
        <f t="shared" si="14"/>
        <v>811751.48489385145</v>
      </c>
      <c r="Q173" s="18"/>
      <c r="R173" s="240">
        <f t="shared" si="16"/>
        <v>2.9298327269819001E-4</v>
      </c>
      <c r="S173" s="223">
        <f t="shared" si="18"/>
        <v>32652.670000000002</v>
      </c>
      <c r="T173" s="157"/>
      <c r="U173" s="157"/>
      <c r="V173" s="246">
        <f t="shared" si="17"/>
        <v>834349.23489385145</v>
      </c>
    </row>
    <row r="174" spans="1:22" s="19" customFormat="1" ht="18.75" customHeight="1" x14ac:dyDescent="0.2">
      <c r="A174" s="16"/>
      <c r="B174" s="16"/>
      <c r="C174" s="20" t="s">
        <v>425</v>
      </c>
      <c r="D174" s="19" t="s">
        <v>188</v>
      </c>
      <c r="E174" s="16"/>
      <c r="F174" s="221">
        <v>0</v>
      </c>
      <c r="G174" s="221">
        <v>42</v>
      </c>
      <c r="I174" s="220" t="s">
        <v>374</v>
      </c>
      <c r="K174" s="247">
        <v>274.2</v>
      </c>
      <c r="L174" s="217">
        <f>+K174*G174</f>
        <v>11516.4</v>
      </c>
      <c r="M174" s="217">
        <v>130.03</v>
      </c>
      <c r="N174" s="117">
        <f t="shared" si="15"/>
        <v>11516.4</v>
      </c>
      <c r="P174" s="17">
        <f t="shared" si="14"/>
        <v>289532.42862566211</v>
      </c>
      <c r="Q174" s="18"/>
      <c r="R174" s="240">
        <f t="shared" si="16"/>
        <v>1.0450015807743689E-4</v>
      </c>
      <c r="S174" s="223">
        <f t="shared" si="18"/>
        <v>11646.43</v>
      </c>
      <c r="T174" s="157"/>
      <c r="U174" s="157"/>
      <c r="V174" s="246">
        <f t="shared" si="17"/>
        <v>301048.82862566214</v>
      </c>
    </row>
    <row r="175" spans="1:22" s="19" customFormat="1" ht="18.75" customHeight="1" x14ac:dyDescent="0.2">
      <c r="A175" s="16"/>
      <c r="B175" s="16"/>
      <c r="C175" s="20" t="s">
        <v>425</v>
      </c>
      <c r="D175" s="19" t="s">
        <v>188</v>
      </c>
      <c r="E175" s="16" t="s">
        <v>4</v>
      </c>
      <c r="F175" s="221">
        <v>0</v>
      </c>
      <c r="G175" s="221">
        <v>21</v>
      </c>
      <c r="I175" s="220" t="s">
        <v>375</v>
      </c>
      <c r="K175" s="247">
        <v>372.6</v>
      </c>
      <c r="L175" s="217">
        <f>+K175*G175</f>
        <v>7824.6</v>
      </c>
      <c r="M175" s="217">
        <v>130.18</v>
      </c>
      <c r="N175" s="117">
        <f t="shared" si="15"/>
        <v>7824.6</v>
      </c>
      <c r="P175" s="17">
        <f t="shared" si="14"/>
        <v>197757.31898812292</v>
      </c>
      <c r="Q175" s="18"/>
      <c r="R175" s="240">
        <f t="shared" si="16"/>
        <v>7.1376015437454513E-5</v>
      </c>
      <c r="S175" s="223">
        <f t="shared" si="18"/>
        <v>7954.7800000000007</v>
      </c>
      <c r="T175" s="157"/>
      <c r="U175" s="157"/>
      <c r="V175" s="246">
        <f t="shared" si="17"/>
        <v>205581.91898812292</v>
      </c>
    </row>
    <row r="176" spans="1:22" s="19" customFormat="1" ht="18.75" customHeight="1" x14ac:dyDescent="0.2">
      <c r="A176" s="16"/>
      <c r="B176" s="16"/>
      <c r="C176" s="20" t="s">
        <v>425</v>
      </c>
      <c r="D176" s="19" t="s">
        <v>188</v>
      </c>
      <c r="E176" s="16" t="s">
        <v>4</v>
      </c>
      <c r="F176" s="221">
        <v>0</v>
      </c>
      <c r="G176" s="221">
        <v>21</v>
      </c>
      <c r="I176" s="220" t="s">
        <v>376</v>
      </c>
      <c r="K176" s="247">
        <v>499.25</v>
      </c>
      <c r="L176" s="217">
        <f>+K176*G176</f>
        <v>10484.25</v>
      </c>
      <c r="M176" s="217">
        <v>130.38</v>
      </c>
      <c r="N176" s="117">
        <f t="shared" si="15"/>
        <v>10484.25</v>
      </c>
      <c r="P176" s="17">
        <f t="shared" si="14"/>
        <v>263881.6875954959</v>
      </c>
      <c r="Q176" s="18"/>
      <c r="R176" s="240">
        <f t="shared" si="16"/>
        <v>9.5242105343311542E-5</v>
      </c>
      <c r="S176" s="223">
        <f t="shared" si="18"/>
        <v>10614.63</v>
      </c>
      <c r="T176" s="157"/>
      <c r="U176" s="157"/>
      <c r="V176" s="246">
        <f t="shared" si="17"/>
        <v>274365.9375954959</v>
      </c>
    </row>
    <row r="177" spans="1:22" s="19" customFormat="1" ht="18.75" customHeight="1" x14ac:dyDescent="0.2">
      <c r="A177" s="16"/>
      <c r="B177" s="16"/>
      <c r="C177" s="20" t="s">
        <v>426</v>
      </c>
      <c r="D177" s="19" t="s">
        <v>189</v>
      </c>
      <c r="E177" s="16" t="s">
        <v>4</v>
      </c>
      <c r="F177" s="221">
        <v>3</v>
      </c>
      <c r="G177" s="221">
        <v>0</v>
      </c>
      <c r="I177" s="220" t="s">
        <v>374</v>
      </c>
      <c r="K177" s="247">
        <v>5494.2</v>
      </c>
      <c r="L177" s="217">
        <f t="shared" si="19"/>
        <v>16482.599999999999</v>
      </c>
      <c r="M177" s="217">
        <v>2866.8900000000003</v>
      </c>
      <c r="N177" s="117">
        <f t="shared" si="15"/>
        <v>16482.599999999999</v>
      </c>
      <c r="P177" s="17">
        <f t="shared" si="14"/>
        <v>481031.94132175797</v>
      </c>
      <c r="Q177" s="18"/>
      <c r="R177" s="240">
        <f t="shared" si="16"/>
        <v>1.7361756037839783E-4</v>
      </c>
      <c r="S177" s="223">
        <f t="shared" si="18"/>
        <v>19349.489999999998</v>
      </c>
      <c r="T177" s="157"/>
      <c r="U177" s="157"/>
      <c r="V177" s="246">
        <f t="shared" si="17"/>
        <v>497514.54132175795</v>
      </c>
    </row>
    <row r="178" spans="1:22" s="19" customFormat="1" ht="18.75" customHeight="1" x14ac:dyDescent="0.2">
      <c r="A178" s="16"/>
      <c r="B178" s="16"/>
      <c r="C178" s="20" t="s">
        <v>426</v>
      </c>
      <c r="D178" s="19" t="s">
        <v>189</v>
      </c>
      <c r="E178" s="16" t="s">
        <v>4</v>
      </c>
      <c r="F178" s="221">
        <v>6</v>
      </c>
      <c r="G178" s="221">
        <v>0</v>
      </c>
      <c r="I178" s="220" t="s">
        <v>375</v>
      </c>
      <c r="K178" s="247">
        <v>7472.55</v>
      </c>
      <c r="L178" s="217">
        <f t="shared" si="19"/>
        <v>44835.3</v>
      </c>
      <c r="M178" s="217">
        <v>2929.79</v>
      </c>
      <c r="N178" s="117">
        <f t="shared" si="15"/>
        <v>44835.3</v>
      </c>
      <c r="P178" s="17">
        <f t="shared" si="14"/>
        <v>1187449.0733403563</v>
      </c>
      <c r="Q178" s="18"/>
      <c r="R178" s="240">
        <f t="shared" si="16"/>
        <v>4.2858278936833003E-4</v>
      </c>
      <c r="S178" s="223">
        <f t="shared" si="18"/>
        <v>47765.090000000004</v>
      </c>
      <c r="T178" s="157"/>
      <c r="U178" s="157"/>
      <c r="V178" s="246">
        <f t="shared" si="17"/>
        <v>1232284.3733403564</v>
      </c>
    </row>
    <row r="179" spans="1:22" s="19" customFormat="1" ht="18.75" customHeight="1" x14ac:dyDescent="0.2">
      <c r="A179" s="16"/>
      <c r="B179" s="16"/>
      <c r="C179" s="20" t="s">
        <v>427</v>
      </c>
      <c r="D179" s="19" t="s">
        <v>190</v>
      </c>
      <c r="E179" s="16" t="s">
        <v>4</v>
      </c>
      <c r="F179" s="221">
        <v>394</v>
      </c>
      <c r="G179" s="221">
        <v>0</v>
      </c>
      <c r="I179" s="220" t="s">
        <v>374</v>
      </c>
      <c r="K179" s="247">
        <v>5494.2</v>
      </c>
      <c r="L179" s="217">
        <f t="shared" si="19"/>
        <v>2164714.7999999998</v>
      </c>
      <c r="M179" s="217">
        <v>2866.8900000000003</v>
      </c>
      <c r="N179" s="117">
        <f t="shared" si="15"/>
        <v>2164714.7999999998</v>
      </c>
      <c r="P179" s="17">
        <f t="shared" si="14"/>
        <v>53886486.326729916</v>
      </c>
      <c r="Q179" s="18"/>
      <c r="R179" s="240">
        <f t="shared" si="16"/>
        <v>1.9449104081745033E-2</v>
      </c>
      <c r="S179" s="223">
        <f t="shared" si="18"/>
        <v>2167581.69</v>
      </c>
      <c r="T179" s="157"/>
      <c r="U179" s="157"/>
      <c r="V179" s="246">
        <f t="shared" si="17"/>
        <v>56051201.126729913</v>
      </c>
    </row>
    <row r="180" spans="1:22" s="19" customFormat="1" ht="18.75" customHeight="1" x14ac:dyDescent="0.2">
      <c r="A180" s="16"/>
      <c r="B180" s="16"/>
      <c r="C180" s="20" t="s">
        <v>427</v>
      </c>
      <c r="D180" s="19" t="s">
        <v>190</v>
      </c>
      <c r="E180" s="16" t="s">
        <v>4</v>
      </c>
      <c r="F180" s="221">
        <v>115</v>
      </c>
      <c r="G180" s="221">
        <v>0</v>
      </c>
      <c r="I180" s="220" t="s">
        <v>375</v>
      </c>
      <c r="K180" s="247">
        <v>7472.55</v>
      </c>
      <c r="L180" s="217">
        <f t="shared" si="19"/>
        <v>859343.25</v>
      </c>
      <c r="M180" s="217">
        <v>2929.79</v>
      </c>
      <c r="N180" s="117">
        <f t="shared" si="15"/>
        <v>859343.25</v>
      </c>
      <c r="P180" s="17">
        <f t="shared" si="14"/>
        <v>21436269.089294549</v>
      </c>
      <c r="Q180" s="18"/>
      <c r="R180" s="240">
        <f t="shared" si="16"/>
        <v>7.7369347504696344E-3</v>
      </c>
      <c r="S180" s="223">
        <f t="shared" si="18"/>
        <v>862273.04</v>
      </c>
      <c r="T180" s="157"/>
      <c r="U180" s="157"/>
      <c r="V180" s="246">
        <f t="shared" si="17"/>
        <v>22295612.339294549</v>
      </c>
    </row>
    <row r="181" spans="1:22" s="19" customFormat="1" ht="18.75" customHeight="1" x14ac:dyDescent="0.2">
      <c r="A181" s="16"/>
      <c r="B181" s="16"/>
      <c r="C181" s="20" t="s">
        <v>427</v>
      </c>
      <c r="D181" s="19" t="s">
        <v>190</v>
      </c>
      <c r="E181" s="16" t="s">
        <v>4</v>
      </c>
      <c r="F181" s="221">
        <v>26</v>
      </c>
      <c r="G181" s="221">
        <v>0</v>
      </c>
      <c r="I181" s="220" t="s">
        <v>376</v>
      </c>
      <c r="K181" s="247">
        <v>10013.35</v>
      </c>
      <c r="L181" s="217">
        <f t="shared" si="19"/>
        <v>260347.1</v>
      </c>
      <c r="M181" s="217">
        <v>2933.8900000000003</v>
      </c>
      <c r="N181" s="117">
        <f t="shared" si="15"/>
        <v>260347.1</v>
      </c>
      <c r="P181" s="17">
        <f t="shared" si="14"/>
        <v>6545214.6662684316</v>
      </c>
      <c r="Q181" s="18"/>
      <c r="R181" s="240">
        <f t="shared" si="16"/>
        <v>2.3623466653544542E-3</v>
      </c>
      <c r="S181" s="223">
        <f t="shared" si="18"/>
        <v>263280.99</v>
      </c>
      <c r="T181" s="157"/>
      <c r="U181" s="157"/>
      <c r="V181" s="246">
        <f t="shared" si="17"/>
        <v>6805561.7662684312</v>
      </c>
    </row>
    <row r="182" spans="1:22" s="19" customFormat="1" ht="18.75" customHeight="1" x14ac:dyDescent="0.2">
      <c r="A182" s="16"/>
      <c r="B182" s="16"/>
      <c r="C182" s="20" t="s">
        <v>427</v>
      </c>
      <c r="D182" s="19" t="s">
        <v>190</v>
      </c>
      <c r="E182" s="16" t="s">
        <v>4</v>
      </c>
      <c r="F182" s="221">
        <v>6</v>
      </c>
      <c r="G182" s="221">
        <v>0</v>
      </c>
      <c r="I182" s="220" t="s">
        <v>377</v>
      </c>
      <c r="K182" s="247">
        <v>13217.75</v>
      </c>
      <c r="L182" s="217">
        <f t="shared" si="19"/>
        <v>79306.5</v>
      </c>
      <c r="M182" s="217">
        <v>3073.84</v>
      </c>
      <c r="N182" s="117">
        <f t="shared" si="15"/>
        <v>79306.5</v>
      </c>
      <c r="P182" s="17">
        <f t="shared" si="14"/>
        <v>2047990.6641956184</v>
      </c>
      <c r="Q182" s="18"/>
      <c r="R182" s="240">
        <f t="shared" si="16"/>
        <v>7.3917574333705663E-4</v>
      </c>
      <c r="S182" s="223">
        <f t="shared" si="18"/>
        <v>82380.34</v>
      </c>
      <c r="T182" s="157"/>
      <c r="U182" s="157"/>
      <c r="V182" s="246">
        <f t="shared" si="17"/>
        <v>2127297.1641956186</v>
      </c>
    </row>
    <row r="183" spans="1:22" s="19" customFormat="1" ht="18.75" customHeight="1" x14ac:dyDescent="0.2">
      <c r="A183" s="16"/>
      <c r="B183" s="16"/>
      <c r="C183" s="20" t="s">
        <v>427</v>
      </c>
      <c r="D183" s="19" t="s">
        <v>190</v>
      </c>
      <c r="E183" s="16" t="s">
        <v>4</v>
      </c>
      <c r="F183" s="221">
        <v>7</v>
      </c>
      <c r="G183" s="221">
        <v>0</v>
      </c>
      <c r="I183" s="220" t="s">
        <v>378</v>
      </c>
      <c r="K183" s="247">
        <v>16918.400000000001</v>
      </c>
      <c r="L183" s="217">
        <f t="shared" si="19"/>
        <v>118428.80000000002</v>
      </c>
      <c r="M183" s="217">
        <v>3079.7900000000004</v>
      </c>
      <c r="N183" s="117">
        <f t="shared" si="15"/>
        <v>118428.80000000002</v>
      </c>
      <c r="P183" s="17">
        <f t="shared" si="14"/>
        <v>3020726.2793473918</v>
      </c>
      <c r="Q183" s="18"/>
      <c r="R183" s="240">
        <f t="shared" si="16"/>
        <v>1.0902625837073221E-3</v>
      </c>
      <c r="S183" s="223">
        <f t="shared" si="18"/>
        <v>121508.59000000001</v>
      </c>
      <c r="T183" s="157"/>
      <c r="U183" s="157"/>
      <c r="V183" s="246">
        <f t="shared" si="17"/>
        <v>3139155.0793473916</v>
      </c>
    </row>
    <row r="184" spans="1:22" s="19" customFormat="1" ht="18.75" customHeight="1" x14ac:dyDescent="0.2">
      <c r="A184" s="16"/>
      <c r="B184" s="16"/>
      <c r="C184" s="20" t="s">
        <v>427</v>
      </c>
      <c r="D184" s="19" t="s">
        <v>190</v>
      </c>
      <c r="E184" s="16" t="s">
        <v>4</v>
      </c>
      <c r="F184" s="221">
        <v>3</v>
      </c>
      <c r="G184" s="221">
        <v>0</v>
      </c>
      <c r="I184" s="220" t="s">
        <v>379</v>
      </c>
      <c r="K184" s="247">
        <v>21655.45</v>
      </c>
      <c r="L184" s="217">
        <f t="shared" si="19"/>
        <v>64966.350000000006</v>
      </c>
      <c r="M184" s="217">
        <v>3087.39</v>
      </c>
      <c r="N184" s="117">
        <f t="shared" si="15"/>
        <v>64966.350000000006</v>
      </c>
      <c r="P184" s="17">
        <f t="shared" si="14"/>
        <v>1691828.7079610978</v>
      </c>
      <c r="Q184" s="18"/>
      <c r="R184" s="240">
        <f t="shared" si="16"/>
        <v>6.1062716967867322E-4</v>
      </c>
      <c r="S184" s="223">
        <f t="shared" si="18"/>
        <v>68053.740000000005</v>
      </c>
      <c r="T184" s="157"/>
      <c r="U184" s="157"/>
      <c r="V184" s="246">
        <f t="shared" si="17"/>
        <v>1756795.0579610979</v>
      </c>
    </row>
    <row r="185" spans="1:22" s="19" customFormat="1" ht="18.75" customHeight="1" x14ac:dyDescent="0.2">
      <c r="A185" s="16"/>
      <c r="B185" s="16"/>
      <c r="C185" s="20" t="s">
        <v>428</v>
      </c>
      <c r="D185" s="19" t="s">
        <v>191</v>
      </c>
      <c r="E185" s="16" t="s">
        <v>4</v>
      </c>
      <c r="F185" s="221">
        <v>54</v>
      </c>
      <c r="G185" s="221">
        <v>0</v>
      </c>
      <c r="I185" s="220" t="s">
        <v>374</v>
      </c>
      <c r="K185" s="247">
        <v>5494.2</v>
      </c>
      <c r="L185" s="217">
        <f t="shared" si="19"/>
        <v>296686.8</v>
      </c>
      <c r="M185" s="217">
        <v>2866.8900000000003</v>
      </c>
      <c r="N185" s="117">
        <f t="shared" si="15"/>
        <v>296686.8</v>
      </c>
      <c r="P185" s="17">
        <f t="shared" si="14"/>
        <v>7446960.7742010821</v>
      </c>
      <c r="Q185" s="18"/>
      <c r="R185" s="240">
        <f t="shared" si="16"/>
        <v>2.687811454469698E-3</v>
      </c>
      <c r="S185" s="223">
        <f t="shared" si="18"/>
        <v>299553.69</v>
      </c>
      <c r="T185" s="157"/>
      <c r="U185" s="157"/>
      <c r="V185" s="246">
        <f t="shared" si="17"/>
        <v>7743647.5742010819</v>
      </c>
    </row>
    <row r="186" spans="1:22" s="19" customFormat="1" ht="18.75" customHeight="1" x14ac:dyDescent="0.2">
      <c r="A186" s="16"/>
      <c r="B186" s="16"/>
      <c r="C186" s="20" t="s">
        <v>428</v>
      </c>
      <c r="D186" s="19" t="s">
        <v>191</v>
      </c>
      <c r="E186" s="16" t="s">
        <v>4</v>
      </c>
      <c r="F186" s="221">
        <v>7</v>
      </c>
      <c r="G186" s="221">
        <v>0</v>
      </c>
      <c r="I186" s="220" t="s">
        <v>375</v>
      </c>
      <c r="K186" s="247">
        <v>7472.55</v>
      </c>
      <c r="L186" s="217">
        <f t="shared" si="19"/>
        <v>52307.85</v>
      </c>
      <c r="M186" s="217">
        <v>2929.79</v>
      </c>
      <c r="N186" s="117">
        <f t="shared" si="15"/>
        <v>52307.85</v>
      </c>
      <c r="P186" s="17">
        <f t="shared" si="14"/>
        <v>1373218.0643124133</v>
      </c>
      <c r="Q186" s="18"/>
      <c r="R186" s="240">
        <f t="shared" si="16"/>
        <v>4.9563188992889247E-4</v>
      </c>
      <c r="S186" s="223">
        <f t="shared" si="18"/>
        <v>55237.64</v>
      </c>
      <c r="T186" s="157"/>
      <c r="U186" s="157"/>
      <c r="V186" s="246">
        <f t="shared" si="17"/>
        <v>1425525.9143124134</v>
      </c>
    </row>
    <row r="187" spans="1:22" s="19" customFormat="1" ht="18.75" customHeight="1" x14ac:dyDescent="0.2">
      <c r="A187" s="16"/>
      <c r="B187" s="16"/>
      <c r="C187" s="20" t="s">
        <v>428</v>
      </c>
      <c r="D187" s="19" t="s">
        <v>191</v>
      </c>
      <c r="E187" s="16" t="s">
        <v>4</v>
      </c>
      <c r="F187" s="221">
        <v>1</v>
      </c>
      <c r="G187" s="221">
        <v>0</v>
      </c>
      <c r="I187" s="220" t="s">
        <v>377</v>
      </c>
      <c r="K187" s="247">
        <v>13217.75</v>
      </c>
      <c r="L187" s="217">
        <f t="shared" si="19"/>
        <v>13217.75</v>
      </c>
      <c r="M187" s="217">
        <v>3073.84</v>
      </c>
      <c r="N187" s="117">
        <f t="shared" si="15"/>
        <v>13217.75</v>
      </c>
      <c r="P187" s="17">
        <f t="shared" si="14"/>
        <v>405011.97524679673</v>
      </c>
      <c r="Q187" s="18"/>
      <c r="R187" s="240">
        <f t="shared" si="16"/>
        <v>1.4617987918467634E-4</v>
      </c>
      <c r="S187" s="223">
        <f t="shared" si="18"/>
        <v>16291.59</v>
      </c>
      <c r="T187" s="157"/>
      <c r="U187" s="157"/>
      <c r="V187" s="246">
        <f t="shared" si="17"/>
        <v>418229.72524679673</v>
      </c>
    </row>
    <row r="188" spans="1:22" s="19" customFormat="1" ht="18.75" customHeight="1" x14ac:dyDescent="0.2">
      <c r="A188" s="16"/>
      <c r="B188" s="16"/>
      <c r="C188" s="20" t="s">
        <v>429</v>
      </c>
      <c r="D188" s="19" t="s">
        <v>192</v>
      </c>
      <c r="E188" s="16" t="s">
        <v>4</v>
      </c>
      <c r="F188" s="221">
        <v>13</v>
      </c>
      <c r="G188" s="221">
        <v>0</v>
      </c>
      <c r="I188" s="220" t="s">
        <v>374</v>
      </c>
      <c r="K188" s="247">
        <v>7190.35</v>
      </c>
      <c r="L188" s="217">
        <f t="shared" si="19"/>
        <v>93474.55</v>
      </c>
      <c r="M188" s="217">
        <v>2940.57</v>
      </c>
      <c r="N188" s="117">
        <f t="shared" si="15"/>
        <v>93474.55</v>
      </c>
      <c r="P188" s="17">
        <f t="shared" si="14"/>
        <v>2396897.920636165</v>
      </c>
      <c r="Q188" s="18"/>
      <c r="R188" s="240">
        <f t="shared" si="16"/>
        <v>8.6510589777769216E-4</v>
      </c>
      <c r="S188" s="223">
        <f t="shared" si="18"/>
        <v>96415.12000000001</v>
      </c>
      <c r="T188" s="157"/>
      <c r="U188" s="157"/>
      <c r="V188" s="246">
        <f t="shared" si="17"/>
        <v>2490372.4706361648</v>
      </c>
    </row>
    <row r="189" spans="1:22" s="19" customFormat="1" ht="18.75" customHeight="1" x14ac:dyDescent="0.2">
      <c r="A189" s="16"/>
      <c r="B189" s="16"/>
      <c r="C189" s="20" t="s">
        <v>430</v>
      </c>
      <c r="D189" s="19" t="s">
        <v>193</v>
      </c>
      <c r="E189" s="16" t="s">
        <v>4</v>
      </c>
      <c r="F189" s="221">
        <v>1</v>
      </c>
      <c r="G189" s="221">
        <v>0</v>
      </c>
      <c r="I189" s="220" t="s">
        <v>374</v>
      </c>
      <c r="K189" s="247">
        <v>16453.650000000001</v>
      </c>
      <c r="L189" s="217">
        <f t="shared" si="19"/>
        <v>16453.650000000001</v>
      </c>
      <c r="M189" s="217">
        <v>10915.339999999998</v>
      </c>
      <c r="N189" s="117">
        <f t="shared" si="15"/>
        <v>16453.650000000001</v>
      </c>
      <c r="P189" s="17">
        <f t="shared" si="14"/>
        <v>680398.21161776269</v>
      </c>
      <c r="Q189" s="18"/>
      <c r="R189" s="240">
        <f t="shared" si="16"/>
        <v>2.4557429026918887E-4</v>
      </c>
      <c r="S189" s="223">
        <f t="shared" si="18"/>
        <v>27368.989999999998</v>
      </c>
      <c r="T189" s="157"/>
      <c r="U189" s="157"/>
      <c r="V189" s="246">
        <f t="shared" si="17"/>
        <v>696851.86161776271</v>
      </c>
    </row>
    <row r="190" spans="1:22" s="19" customFormat="1" ht="18.75" customHeight="1" x14ac:dyDescent="0.2">
      <c r="A190" s="16"/>
      <c r="B190" s="16"/>
      <c r="C190" s="20" t="s">
        <v>430</v>
      </c>
      <c r="D190" s="19" t="s">
        <v>193</v>
      </c>
      <c r="E190" s="16" t="s">
        <v>4</v>
      </c>
      <c r="F190" s="221">
        <v>3</v>
      </c>
      <c r="G190" s="221">
        <v>0</v>
      </c>
      <c r="I190" s="220" t="s">
        <v>375</v>
      </c>
      <c r="K190" s="247">
        <v>19979.5</v>
      </c>
      <c r="L190" s="217">
        <f t="shared" si="19"/>
        <v>59938.5</v>
      </c>
      <c r="M190" s="217">
        <v>10915.339999999998</v>
      </c>
      <c r="N190" s="117">
        <f t="shared" si="15"/>
        <v>59938.5</v>
      </c>
      <c r="P190" s="17">
        <f t="shared" si="14"/>
        <v>1761439.7178065795</v>
      </c>
      <c r="Q190" s="18"/>
      <c r="R190" s="240">
        <f t="shared" si="16"/>
        <v>6.3575168359689799E-4</v>
      </c>
      <c r="S190" s="223">
        <f t="shared" si="18"/>
        <v>70853.84</v>
      </c>
      <c r="T190" s="157"/>
      <c r="U190" s="157"/>
      <c r="V190" s="246">
        <f t="shared" si="17"/>
        <v>1821378.2178065795</v>
      </c>
    </row>
    <row r="191" spans="1:22" s="19" customFormat="1" ht="18.75" customHeight="1" x14ac:dyDescent="0.2">
      <c r="A191" s="16"/>
      <c r="B191" s="16"/>
      <c r="C191" s="20" t="s">
        <v>430</v>
      </c>
      <c r="D191" s="19" t="s">
        <v>193</v>
      </c>
      <c r="E191" s="16" t="s">
        <v>4</v>
      </c>
      <c r="F191" s="221">
        <v>2</v>
      </c>
      <c r="G191" s="221">
        <v>0</v>
      </c>
      <c r="I191" s="220" t="s">
        <v>376</v>
      </c>
      <c r="K191" s="247">
        <v>24022.9</v>
      </c>
      <c r="L191" s="217">
        <f t="shared" si="19"/>
        <v>48045.8</v>
      </c>
      <c r="M191" s="217">
        <v>10915.339999999998</v>
      </c>
      <c r="N191" s="117">
        <f t="shared" si="15"/>
        <v>48045.8</v>
      </c>
      <c r="P191" s="17">
        <f t="shared" si="14"/>
        <v>1465784.9709084819</v>
      </c>
      <c r="Q191" s="18"/>
      <c r="R191" s="240">
        <f t="shared" si="16"/>
        <v>5.2904181370822532E-4</v>
      </c>
      <c r="S191" s="223">
        <f t="shared" si="18"/>
        <v>58961.14</v>
      </c>
      <c r="T191" s="157"/>
      <c r="U191" s="157"/>
      <c r="V191" s="246">
        <f t="shared" si="17"/>
        <v>1513830.7709084819</v>
      </c>
    </row>
    <row r="192" spans="1:22" s="19" customFormat="1" ht="18.75" customHeight="1" x14ac:dyDescent="0.2">
      <c r="A192" s="16"/>
      <c r="B192" s="16"/>
      <c r="C192" s="20" t="s">
        <v>430</v>
      </c>
      <c r="D192" s="19" t="s">
        <v>193</v>
      </c>
      <c r="E192" s="16" t="s">
        <v>4</v>
      </c>
      <c r="F192" s="221">
        <v>1</v>
      </c>
      <c r="G192" s="221">
        <v>0</v>
      </c>
      <c r="I192" s="220" t="s">
        <v>377</v>
      </c>
      <c r="K192" s="247">
        <v>28597.9</v>
      </c>
      <c r="L192" s="217">
        <f t="shared" si="19"/>
        <v>28597.9</v>
      </c>
      <c r="M192" s="217">
        <v>10915.339999999998</v>
      </c>
      <c r="N192" s="117">
        <f t="shared" si="15"/>
        <v>28597.9</v>
      </c>
      <c r="P192" s="17">
        <f t="shared" si="14"/>
        <v>982306.53857608349</v>
      </c>
      <c r="Q192" s="18"/>
      <c r="R192" s="240">
        <f t="shared" si="16"/>
        <v>3.5454124793191577E-4</v>
      </c>
      <c r="S192" s="223">
        <f t="shared" si="18"/>
        <v>39513.24</v>
      </c>
      <c r="T192" s="157"/>
      <c r="U192" s="157"/>
      <c r="V192" s="246">
        <f t="shared" si="17"/>
        <v>1010904.4385760835</v>
      </c>
    </row>
    <row r="193" spans="1:22" s="19" customFormat="1" ht="18.75" customHeight="1" x14ac:dyDescent="0.2">
      <c r="A193" s="16"/>
      <c r="B193" s="16"/>
      <c r="C193" s="20" t="s">
        <v>431</v>
      </c>
      <c r="D193" s="19" t="s">
        <v>194</v>
      </c>
      <c r="E193" s="16" t="s">
        <v>4</v>
      </c>
      <c r="F193" s="221">
        <v>0</v>
      </c>
      <c r="G193" s="221">
        <v>1</v>
      </c>
      <c r="I193" s="220" t="s">
        <v>374</v>
      </c>
      <c r="K193" s="247">
        <v>274.2</v>
      </c>
      <c r="L193" s="217">
        <f>+K193*G193</f>
        <v>274.2</v>
      </c>
      <c r="M193" s="217">
        <v>130.03</v>
      </c>
      <c r="N193" s="117">
        <f t="shared" si="15"/>
        <v>274.2</v>
      </c>
      <c r="P193" s="17">
        <f t="shared" si="14"/>
        <v>10049.233423748858</v>
      </c>
      <c r="Q193" s="18"/>
      <c r="R193" s="240">
        <f t="shared" si="16"/>
        <v>3.62704269889076E-6</v>
      </c>
      <c r="S193" s="223">
        <f t="shared" si="18"/>
        <v>404.23</v>
      </c>
      <c r="T193" s="157"/>
      <c r="U193" s="157"/>
      <c r="V193" s="246">
        <f t="shared" si="17"/>
        <v>10323.433423748858</v>
      </c>
    </row>
    <row r="194" spans="1:22" s="19" customFormat="1" ht="18.75" customHeight="1" x14ac:dyDescent="0.2">
      <c r="A194" s="16"/>
      <c r="B194" s="16"/>
      <c r="C194" s="20" t="s">
        <v>432</v>
      </c>
      <c r="D194" s="19" t="s">
        <v>195</v>
      </c>
      <c r="E194" s="16" t="s">
        <v>4</v>
      </c>
      <c r="F194" s="221">
        <v>0</v>
      </c>
      <c r="G194" s="221">
        <v>8694</v>
      </c>
      <c r="I194" s="220" t="s">
        <v>374</v>
      </c>
      <c r="K194" s="247">
        <v>274.2</v>
      </c>
      <c r="L194" s="217">
        <f t="shared" ref="L194:L216" si="20">+K194*G194</f>
        <v>2383894.7999999998</v>
      </c>
      <c r="M194" s="217">
        <v>130.03</v>
      </c>
      <c r="N194" s="117">
        <f t="shared" si="15"/>
        <v>2383894.7999999998</v>
      </c>
      <c r="P194" s="17">
        <f t="shared" si="14"/>
        <v>59267303.279526949</v>
      </c>
      <c r="Q194" s="18"/>
      <c r="R194" s="240">
        <f t="shared" si="16"/>
        <v>2.1391187822837946E-2</v>
      </c>
      <c r="S194" s="223">
        <f t="shared" si="18"/>
        <v>2384024.8299999996</v>
      </c>
      <c r="T194" s="157"/>
      <c r="U194" s="157"/>
      <c r="V194" s="246">
        <f t="shared" si="17"/>
        <v>61651198.079526946</v>
      </c>
    </row>
    <row r="195" spans="1:22" s="19" customFormat="1" ht="18.75" customHeight="1" x14ac:dyDescent="0.2">
      <c r="A195" s="16"/>
      <c r="B195" s="16"/>
      <c r="C195" s="20" t="s">
        <v>432</v>
      </c>
      <c r="D195" s="19" t="s">
        <v>195</v>
      </c>
      <c r="E195" s="16" t="s">
        <v>4</v>
      </c>
      <c r="F195" s="221">
        <v>0</v>
      </c>
      <c r="G195" s="221">
        <v>2597</v>
      </c>
      <c r="I195" s="220" t="s">
        <v>375</v>
      </c>
      <c r="K195" s="247">
        <v>372.6</v>
      </c>
      <c r="L195" s="217">
        <f t="shared" si="20"/>
        <v>967642.20000000007</v>
      </c>
      <c r="M195" s="217">
        <v>130.18</v>
      </c>
      <c r="N195" s="117">
        <f t="shared" si="15"/>
        <v>967642.20000000007</v>
      </c>
      <c r="P195" s="17">
        <f t="shared" si="14"/>
        <v>24059002.418615587</v>
      </c>
      <c r="Q195" s="18"/>
      <c r="R195" s="240">
        <f t="shared" si="16"/>
        <v>8.68355081282224E-3</v>
      </c>
      <c r="S195" s="223">
        <f t="shared" si="18"/>
        <v>967772.38000000012</v>
      </c>
      <c r="T195" s="157"/>
      <c r="U195" s="157"/>
      <c r="V195" s="246">
        <f t="shared" si="17"/>
        <v>25026644.618615586</v>
      </c>
    </row>
    <row r="196" spans="1:22" s="19" customFormat="1" ht="18.75" customHeight="1" x14ac:dyDescent="0.2">
      <c r="A196" s="16"/>
      <c r="B196" s="16"/>
      <c r="C196" s="20" t="s">
        <v>432</v>
      </c>
      <c r="D196" s="19" t="s">
        <v>195</v>
      </c>
      <c r="E196" s="16" t="s">
        <v>4</v>
      </c>
      <c r="F196" s="221">
        <v>0</v>
      </c>
      <c r="G196" s="221">
        <v>468</v>
      </c>
      <c r="I196" s="220" t="s">
        <v>376</v>
      </c>
      <c r="K196" s="247">
        <v>499.25</v>
      </c>
      <c r="L196" s="217">
        <f t="shared" si="20"/>
        <v>233649</v>
      </c>
      <c r="M196" s="217">
        <v>130.38</v>
      </c>
      <c r="N196" s="117">
        <f t="shared" si="15"/>
        <v>233649</v>
      </c>
      <c r="P196" s="17">
        <f t="shared" si="14"/>
        <v>5811799.1224780073</v>
      </c>
      <c r="Q196" s="18"/>
      <c r="R196" s="240">
        <f t="shared" si="16"/>
        <v>2.0976369724666861E-3</v>
      </c>
      <c r="S196" s="223">
        <f t="shared" si="18"/>
        <v>233779.38</v>
      </c>
      <c r="T196" s="157"/>
      <c r="U196" s="157"/>
      <c r="V196" s="246">
        <f t="shared" si="17"/>
        <v>6045448.1224780073</v>
      </c>
    </row>
    <row r="197" spans="1:22" s="19" customFormat="1" ht="18.75" customHeight="1" x14ac:dyDescent="0.2">
      <c r="A197" s="16"/>
      <c r="B197" s="16"/>
      <c r="C197" s="20" t="s">
        <v>432</v>
      </c>
      <c r="D197" s="19" t="s">
        <v>195</v>
      </c>
      <c r="E197" s="16" t="s">
        <v>4</v>
      </c>
      <c r="F197" s="221">
        <v>0</v>
      </c>
      <c r="G197" s="221">
        <v>320</v>
      </c>
      <c r="I197" s="220" t="s">
        <v>377</v>
      </c>
      <c r="K197" s="247">
        <v>659.05</v>
      </c>
      <c r="L197" s="217">
        <f t="shared" si="20"/>
        <v>210896</v>
      </c>
      <c r="M197" s="217">
        <v>130.63</v>
      </c>
      <c r="N197" s="117">
        <f t="shared" si="15"/>
        <v>210896</v>
      </c>
      <c r="P197" s="17">
        <f t="shared" si="14"/>
        <v>5246161.5008709971</v>
      </c>
      <c r="Q197" s="18"/>
      <c r="R197" s="240">
        <f t="shared" si="16"/>
        <v>1.8934829122356624E-3</v>
      </c>
      <c r="S197" s="223">
        <f t="shared" si="18"/>
        <v>211026.63</v>
      </c>
      <c r="T197" s="157"/>
      <c r="U197" s="157"/>
      <c r="V197" s="246">
        <f t="shared" si="17"/>
        <v>5457057.5008709971</v>
      </c>
    </row>
    <row r="198" spans="1:22" s="19" customFormat="1" ht="18.75" customHeight="1" x14ac:dyDescent="0.2">
      <c r="A198" s="16"/>
      <c r="B198" s="16"/>
      <c r="C198" s="20" t="s">
        <v>432</v>
      </c>
      <c r="D198" s="19" t="s">
        <v>195</v>
      </c>
      <c r="E198" s="16" t="s">
        <v>4</v>
      </c>
      <c r="F198" s="221">
        <v>0</v>
      </c>
      <c r="G198" s="221">
        <v>217</v>
      </c>
      <c r="I198" s="220" t="s">
        <v>378</v>
      </c>
      <c r="K198" s="247">
        <v>843.55</v>
      </c>
      <c r="L198" s="217">
        <f t="shared" si="20"/>
        <v>183050.34999999998</v>
      </c>
      <c r="M198" s="217">
        <v>130.93</v>
      </c>
      <c r="N198" s="117">
        <f t="shared" si="15"/>
        <v>183050.34999999998</v>
      </c>
      <c r="P198" s="17">
        <f t="shared" si="14"/>
        <v>4553920.8905353323</v>
      </c>
      <c r="Q198" s="18"/>
      <c r="R198" s="240">
        <f t="shared" si="16"/>
        <v>1.6436343769573357E-3</v>
      </c>
      <c r="S198" s="223">
        <f t="shared" si="18"/>
        <v>183181.27999999997</v>
      </c>
      <c r="T198" s="157"/>
      <c r="U198" s="157"/>
      <c r="V198" s="246">
        <f t="shared" si="17"/>
        <v>4736971.2405353319</v>
      </c>
    </row>
    <row r="199" spans="1:22" s="19" customFormat="1" ht="18.75" customHeight="1" x14ac:dyDescent="0.2">
      <c r="A199" s="16"/>
      <c r="B199" s="16"/>
      <c r="C199" s="20" t="s">
        <v>432</v>
      </c>
      <c r="D199" s="19" t="s">
        <v>195</v>
      </c>
      <c r="E199" s="16" t="s">
        <v>4</v>
      </c>
      <c r="F199" s="221">
        <v>0</v>
      </c>
      <c r="G199" s="221">
        <v>71</v>
      </c>
      <c r="I199" s="220" t="s">
        <v>379</v>
      </c>
      <c r="K199" s="247">
        <v>1079.6500000000001</v>
      </c>
      <c r="L199" s="217">
        <f t="shared" si="20"/>
        <v>76655.150000000009</v>
      </c>
      <c r="M199" s="217">
        <v>131.28</v>
      </c>
      <c r="N199" s="117">
        <f t="shared" si="15"/>
        <v>76655.150000000009</v>
      </c>
      <c r="P199" s="17">
        <f t="shared" si="14"/>
        <v>1908925.0150813942</v>
      </c>
      <c r="Q199" s="18"/>
      <c r="R199" s="240">
        <f t="shared" si="16"/>
        <v>6.8898315391085878E-4</v>
      </c>
      <c r="S199" s="223">
        <f t="shared" si="18"/>
        <v>76786.430000000008</v>
      </c>
      <c r="T199" s="157"/>
      <c r="U199" s="157"/>
      <c r="V199" s="246">
        <f t="shared" si="17"/>
        <v>1985580.1650813941</v>
      </c>
    </row>
    <row r="200" spans="1:22" s="19" customFormat="1" ht="18.75" customHeight="1" x14ac:dyDescent="0.2">
      <c r="A200" s="16"/>
      <c r="B200" s="16"/>
      <c r="C200" s="20" t="s">
        <v>433</v>
      </c>
      <c r="D200" s="19" t="s">
        <v>196</v>
      </c>
      <c r="E200" s="16" t="s">
        <v>4</v>
      </c>
      <c r="F200" s="221">
        <v>0</v>
      </c>
      <c r="G200" s="221">
        <v>324</v>
      </c>
      <c r="I200" s="220" t="s">
        <v>374</v>
      </c>
      <c r="K200" s="247">
        <v>274.2</v>
      </c>
      <c r="L200" s="217">
        <f t="shared" si="20"/>
        <v>88840.8</v>
      </c>
      <c r="M200" s="217">
        <v>130.03</v>
      </c>
      <c r="N200" s="117">
        <f t="shared" si="15"/>
        <v>88840.8</v>
      </c>
      <c r="P200" s="17">
        <f t="shared" si="14"/>
        <v>2211831.4785510167</v>
      </c>
      <c r="Q200" s="18"/>
      <c r="R200" s="240">
        <f t="shared" si="16"/>
        <v>7.983103662908517E-4</v>
      </c>
      <c r="S200" s="223">
        <f t="shared" si="18"/>
        <v>88970.83</v>
      </c>
      <c r="T200" s="157"/>
      <c r="U200" s="157"/>
      <c r="V200" s="246">
        <f t="shared" si="17"/>
        <v>2300672.2785510165</v>
      </c>
    </row>
    <row r="201" spans="1:22" s="19" customFormat="1" ht="18.75" customHeight="1" x14ac:dyDescent="0.2">
      <c r="A201" s="16"/>
      <c r="B201" s="16"/>
      <c r="C201" s="20" t="s">
        <v>433</v>
      </c>
      <c r="D201" s="19" t="s">
        <v>196</v>
      </c>
      <c r="E201" s="16" t="s">
        <v>4</v>
      </c>
      <c r="F201" s="221">
        <v>0</v>
      </c>
      <c r="G201" s="221">
        <v>117</v>
      </c>
      <c r="I201" s="220" t="s">
        <v>375</v>
      </c>
      <c r="K201" s="247">
        <v>372.6</v>
      </c>
      <c r="L201" s="217">
        <f t="shared" si="20"/>
        <v>43594.200000000004</v>
      </c>
      <c r="M201" s="217">
        <v>130.18</v>
      </c>
      <c r="N201" s="117">
        <f t="shared" si="15"/>
        <v>43594.200000000004</v>
      </c>
      <c r="P201" s="17">
        <f t="shared" si="14"/>
        <v>1086996.2668003265</v>
      </c>
      <c r="Q201" s="18"/>
      <c r="R201" s="240">
        <f t="shared" si="16"/>
        <v>3.9232662900458938E-4</v>
      </c>
      <c r="S201" s="223">
        <f t="shared" si="18"/>
        <v>43724.380000000005</v>
      </c>
      <c r="T201" s="157"/>
      <c r="U201" s="157"/>
      <c r="V201" s="246">
        <f t="shared" si="17"/>
        <v>1130590.4668003265</v>
      </c>
    </row>
    <row r="202" spans="1:22" s="19" customFormat="1" ht="18.75" customHeight="1" x14ac:dyDescent="0.2">
      <c r="A202" s="16"/>
      <c r="B202" s="16"/>
      <c r="C202" s="20" t="s">
        <v>433</v>
      </c>
      <c r="D202" s="19" t="s">
        <v>196</v>
      </c>
      <c r="E202" s="16" t="s">
        <v>4</v>
      </c>
      <c r="F202" s="221">
        <v>0</v>
      </c>
      <c r="G202" s="221">
        <v>43</v>
      </c>
      <c r="I202" s="220" t="s">
        <v>376</v>
      </c>
      <c r="K202" s="247">
        <v>499.25</v>
      </c>
      <c r="L202" s="217">
        <f t="shared" si="20"/>
        <v>21467.75</v>
      </c>
      <c r="M202" s="217">
        <v>130.38</v>
      </c>
      <c r="N202" s="117">
        <f t="shared" si="15"/>
        <v>21467.75</v>
      </c>
      <c r="P202" s="17">
        <f t="shared" si="14"/>
        <v>536933.55239955685</v>
      </c>
      <c r="Q202" s="18"/>
      <c r="R202" s="240">
        <f t="shared" si="16"/>
        <v>1.9379397799815324E-4</v>
      </c>
      <c r="S202" s="223">
        <f t="shared" si="18"/>
        <v>21598.13</v>
      </c>
      <c r="T202" s="157"/>
      <c r="U202" s="157"/>
      <c r="V202" s="246">
        <f t="shared" si="17"/>
        <v>558401.30239955685</v>
      </c>
    </row>
    <row r="203" spans="1:22" s="19" customFormat="1" ht="18.75" customHeight="1" x14ac:dyDescent="0.2">
      <c r="A203" s="16"/>
      <c r="B203" s="16"/>
      <c r="C203" s="20" t="s">
        <v>433</v>
      </c>
      <c r="D203" s="19" t="s">
        <v>196</v>
      </c>
      <c r="E203" s="16" t="s">
        <v>4</v>
      </c>
      <c r="F203" s="221">
        <v>0</v>
      </c>
      <c r="G203" s="221">
        <v>19</v>
      </c>
      <c r="I203" s="220" t="s">
        <v>377</v>
      </c>
      <c r="K203" s="247">
        <v>659.05</v>
      </c>
      <c r="L203" s="217">
        <f t="shared" si="20"/>
        <v>12521.949999999999</v>
      </c>
      <c r="M203" s="217">
        <v>130.63</v>
      </c>
      <c r="N203" s="117">
        <f t="shared" si="15"/>
        <v>12521.949999999999</v>
      </c>
      <c r="P203" s="17">
        <f t="shared" si="14"/>
        <v>314545.50585720083</v>
      </c>
      <c r="Q203" s="18"/>
      <c r="R203" s="240">
        <f t="shared" si="16"/>
        <v>1.1352806053764254E-4</v>
      </c>
      <c r="S203" s="223">
        <f t="shared" si="18"/>
        <v>12652.579999999998</v>
      </c>
      <c r="T203" s="157"/>
      <c r="U203" s="157"/>
      <c r="V203" s="246">
        <f t="shared" si="17"/>
        <v>327067.45585720084</v>
      </c>
    </row>
    <row r="204" spans="1:22" s="19" customFormat="1" ht="18.75" customHeight="1" x14ac:dyDescent="0.2">
      <c r="A204" s="16"/>
      <c r="B204" s="16"/>
      <c r="C204" s="20" t="s">
        <v>433</v>
      </c>
      <c r="D204" s="19" t="s">
        <v>196</v>
      </c>
      <c r="E204" s="16" t="s">
        <v>4</v>
      </c>
      <c r="F204" s="221">
        <v>0</v>
      </c>
      <c r="G204" s="221">
        <v>11</v>
      </c>
      <c r="I204" s="220" t="s">
        <v>378</v>
      </c>
      <c r="K204" s="247">
        <v>843.55</v>
      </c>
      <c r="L204" s="217">
        <f t="shared" si="20"/>
        <v>9279.0499999999993</v>
      </c>
      <c r="M204" s="217">
        <v>130.93</v>
      </c>
      <c r="N204" s="117">
        <f t="shared" si="15"/>
        <v>9279.0499999999993</v>
      </c>
      <c r="P204" s="17">
        <f t="shared" si="14"/>
        <v>233933.86322838051</v>
      </c>
      <c r="Q204" s="18"/>
      <c r="R204" s="240">
        <f t="shared" si="16"/>
        <v>8.443311791729478E-5</v>
      </c>
      <c r="S204" s="223">
        <f t="shared" si="18"/>
        <v>9409.98</v>
      </c>
      <c r="T204" s="157"/>
      <c r="U204" s="157"/>
      <c r="V204" s="246">
        <f t="shared" si="17"/>
        <v>243212.91322838049</v>
      </c>
    </row>
    <row r="205" spans="1:22" s="19" customFormat="1" ht="18.75" customHeight="1" x14ac:dyDescent="0.2">
      <c r="A205" s="16"/>
      <c r="B205" s="16"/>
      <c r="C205" s="20" t="s">
        <v>434</v>
      </c>
      <c r="D205" s="19" t="s">
        <v>197</v>
      </c>
      <c r="E205" s="16" t="s">
        <v>4</v>
      </c>
      <c r="F205" s="221">
        <v>0</v>
      </c>
      <c r="G205" s="221">
        <v>6</v>
      </c>
      <c r="I205" s="220" t="s">
        <v>374</v>
      </c>
      <c r="K205" s="247">
        <v>274.2</v>
      </c>
      <c r="L205" s="217">
        <f t="shared" si="20"/>
        <v>1645.1999999999998</v>
      </c>
      <c r="M205" s="217">
        <v>130.03</v>
      </c>
      <c r="N205" s="117">
        <f t="shared" si="15"/>
        <v>1645.1999999999998</v>
      </c>
      <c r="P205" s="17">
        <f t="shared" si="14"/>
        <v>44132.549911787049</v>
      </c>
      <c r="Q205" s="18"/>
      <c r="R205" s="240">
        <f t="shared" si="16"/>
        <v>1.5928642135298823E-5</v>
      </c>
      <c r="S205" s="223">
        <f t="shared" si="18"/>
        <v>1775.2299999999998</v>
      </c>
      <c r="T205" s="157"/>
      <c r="U205" s="157"/>
      <c r="V205" s="246">
        <f t="shared" si="17"/>
        <v>45777.749911787047</v>
      </c>
    </row>
    <row r="206" spans="1:22" s="19" customFormat="1" ht="18.75" customHeight="1" x14ac:dyDescent="0.2">
      <c r="A206" s="16"/>
      <c r="B206" s="16"/>
      <c r="C206" s="20" t="s">
        <v>435</v>
      </c>
      <c r="D206" s="19" t="s">
        <v>198</v>
      </c>
      <c r="E206" s="16" t="s">
        <v>4</v>
      </c>
      <c r="F206" s="221">
        <v>0</v>
      </c>
      <c r="G206" s="221">
        <v>15</v>
      </c>
      <c r="I206" s="220" t="s">
        <v>374</v>
      </c>
      <c r="K206" s="247">
        <v>264.89999999999998</v>
      </c>
      <c r="L206" s="217">
        <f t="shared" si="20"/>
        <v>3973.4999999999995</v>
      </c>
      <c r="M206" s="217">
        <v>129.77000000000001</v>
      </c>
      <c r="N206" s="117">
        <f t="shared" si="15"/>
        <v>3973.4999999999995</v>
      </c>
      <c r="P206" s="17">
        <f t="shared" si="14"/>
        <v>102008.05984381655</v>
      </c>
      <c r="Q206" s="18"/>
      <c r="R206" s="240">
        <f t="shared" si="16"/>
        <v>3.6817493741378637E-5</v>
      </c>
      <c r="S206" s="223">
        <f t="shared" si="18"/>
        <v>4103.2699999999995</v>
      </c>
      <c r="T206" s="157"/>
      <c r="U206" s="157"/>
      <c r="V206" s="246">
        <f t="shared" si="17"/>
        <v>105981.55984381655</v>
      </c>
    </row>
    <row r="207" spans="1:22" s="19" customFormat="1" ht="18.75" customHeight="1" x14ac:dyDescent="0.2">
      <c r="A207" s="16"/>
      <c r="B207" s="16"/>
      <c r="C207" s="20" t="s">
        <v>436</v>
      </c>
      <c r="D207" s="19" t="s">
        <v>199</v>
      </c>
      <c r="E207" s="16" t="s">
        <v>4</v>
      </c>
      <c r="F207" s="221">
        <v>0</v>
      </c>
      <c r="G207" s="221">
        <v>154</v>
      </c>
      <c r="I207" s="220" t="s">
        <v>374</v>
      </c>
      <c r="K207" s="247">
        <v>274.2</v>
      </c>
      <c r="L207" s="217">
        <f t="shared" si="20"/>
        <v>42226.799999999996</v>
      </c>
      <c r="M207" s="217">
        <v>130.03</v>
      </c>
      <c r="N207" s="117">
        <f t="shared" si="15"/>
        <v>42226.799999999996</v>
      </c>
      <c r="P207" s="17">
        <f t="shared" si="14"/>
        <v>1052998.7179577176</v>
      </c>
      <c r="Q207" s="18"/>
      <c r="R207" s="240">
        <f t="shared" si="16"/>
        <v>3.8005598545297749E-4</v>
      </c>
      <c r="S207" s="223">
        <f t="shared" si="18"/>
        <v>42356.829999999994</v>
      </c>
      <c r="T207" s="157"/>
      <c r="U207" s="157"/>
      <c r="V207" s="246">
        <f t="shared" si="17"/>
        <v>1095225.5179577176</v>
      </c>
    </row>
    <row r="208" spans="1:22" s="19" customFormat="1" ht="18.75" customHeight="1" x14ac:dyDescent="0.2">
      <c r="A208" s="16"/>
      <c r="B208" s="16"/>
      <c r="C208" s="20" t="s">
        <v>436</v>
      </c>
      <c r="D208" s="19" t="s">
        <v>199</v>
      </c>
      <c r="E208" s="16" t="s">
        <v>4</v>
      </c>
      <c r="F208" s="221">
        <v>0</v>
      </c>
      <c r="G208" s="221">
        <v>14</v>
      </c>
      <c r="I208" s="220" t="s">
        <v>375</v>
      </c>
      <c r="K208" s="247">
        <v>372.6</v>
      </c>
      <c r="L208" s="217">
        <f t="shared" si="20"/>
        <v>5216.4000000000005</v>
      </c>
      <c r="M208" s="217">
        <v>130.18</v>
      </c>
      <c r="N208" s="117">
        <f t="shared" si="15"/>
        <v>5216.4000000000005</v>
      </c>
      <c r="P208" s="17">
        <f t="shared" ref="P208:P271" si="21">(+$U$11-$N$472)*R208</f>
        <v>132916.97904348309</v>
      </c>
      <c r="Q208" s="18"/>
      <c r="R208" s="240">
        <f t="shared" si="16"/>
        <v>4.7973366531517604E-5</v>
      </c>
      <c r="S208" s="223">
        <f t="shared" si="18"/>
        <v>5346.5800000000008</v>
      </c>
      <c r="T208" s="157"/>
      <c r="U208" s="157"/>
      <c r="V208" s="246">
        <f t="shared" si="17"/>
        <v>138133.37904348309</v>
      </c>
    </row>
    <row r="209" spans="1:22" s="19" customFormat="1" ht="18.75" customHeight="1" x14ac:dyDescent="0.2">
      <c r="A209" s="16"/>
      <c r="B209" s="16"/>
      <c r="C209" s="20" t="s">
        <v>437</v>
      </c>
      <c r="D209" s="19" t="s">
        <v>200</v>
      </c>
      <c r="E209" s="16" t="s">
        <v>4</v>
      </c>
      <c r="F209" s="221">
        <v>0</v>
      </c>
      <c r="G209" s="221">
        <v>6</v>
      </c>
      <c r="I209" s="220" t="s">
        <v>374</v>
      </c>
      <c r="K209" s="247">
        <v>274.2</v>
      </c>
      <c r="L209" s="217">
        <f t="shared" si="20"/>
        <v>1645.1999999999998</v>
      </c>
      <c r="M209" s="217">
        <v>130.03</v>
      </c>
      <c r="N209" s="117">
        <f t="shared" ref="N209:N272" si="22">+L209</f>
        <v>1645.1999999999998</v>
      </c>
      <c r="P209" s="17">
        <f t="shared" si="21"/>
        <v>44132.549911787049</v>
      </c>
      <c r="Q209" s="18"/>
      <c r="R209" s="240">
        <f t="shared" ref="R209:R272" si="23">+S209/$S$472</f>
        <v>1.5928642135298823E-5</v>
      </c>
      <c r="S209" s="223">
        <f t="shared" si="18"/>
        <v>1775.2299999999998</v>
      </c>
      <c r="T209" s="157"/>
      <c r="U209" s="157"/>
      <c r="V209" s="246">
        <f t="shared" ref="V209:V272" si="24">+N209+P209</f>
        <v>45777.749911787047</v>
      </c>
    </row>
    <row r="210" spans="1:22" s="19" customFormat="1" ht="18.75" customHeight="1" x14ac:dyDescent="0.2">
      <c r="A210" s="16"/>
      <c r="B210" s="16"/>
      <c r="C210" s="20" t="s">
        <v>438</v>
      </c>
      <c r="D210" s="19" t="s">
        <v>200</v>
      </c>
      <c r="E210" s="16" t="s">
        <v>4</v>
      </c>
      <c r="F210" s="221">
        <v>0</v>
      </c>
      <c r="G210" s="221">
        <v>2456</v>
      </c>
      <c r="I210" s="220" t="s">
        <v>374</v>
      </c>
      <c r="K210" s="247">
        <v>268.45</v>
      </c>
      <c r="L210" s="217">
        <f>+K210*G210</f>
        <v>659313.19999999995</v>
      </c>
      <c r="M210" s="217">
        <v>129.94</v>
      </c>
      <c r="N210" s="117">
        <f t="shared" si="22"/>
        <v>659313.19999999995</v>
      </c>
      <c r="P210" s="17">
        <f t="shared" si="21"/>
        <v>16393879.829675917</v>
      </c>
      <c r="Q210" s="18"/>
      <c r="R210" s="240">
        <f t="shared" si="23"/>
        <v>5.9169988033312641E-3</v>
      </c>
      <c r="S210" s="223">
        <f t="shared" ref="S210:S273" si="25">+L210+M210</f>
        <v>659443.1399999999</v>
      </c>
      <c r="T210" s="157"/>
      <c r="U210" s="157"/>
      <c r="V210" s="246">
        <f t="shared" si="24"/>
        <v>17053193.029675916</v>
      </c>
    </row>
    <row r="211" spans="1:22" s="19" customFormat="1" ht="18.75" customHeight="1" x14ac:dyDescent="0.2">
      <c r="A211" s="16"/>
      <c r="B211" s="16"/>
      <c r="C211" s="20" t="s">
        <v>438</v>
      </c>
      <c r="D211" s="19" t="s">
        <v>200</v>
      </c>
      <c r="E211" s="16" t="s">
        <v>4</v>
      </c>
      <c r="F211" s="221">
        <v>0</v>
      </c>
      <c r="G211" s="221">
        <v>114</v>
      </c>
      <c r="I211" s="220" t="s">
        <v>375</v>
      </c>
      <c r="K211" s="247">
        <v>364.8</v>
      </c>
      <c r="L211" s="217">
        <f t="shared" si="20"/>
        <v>41587.200000000004</v>
      </c>
      <c r="M211" s="217">
        <v>130.09</v>
      </c>
      <c r="N211" s="117">
        <f t="shared" si="22"/>
        <v>41587.200000000004</v>
      </c>
      <c r="P211" s="17">
        <f t="shared" si="21"/>
        <v>1037099.6339119411</v>
      </c>
      <c r="Q211" s="18"/>
      <c r="R211" s="240">
        <f t="shared" si="23"/>
        <v>3.7431757195658045E-4</v>
      </c>
      <c r="S211" s="223">
        <f t="shared" si="25"/>
        <v>41717.29</v>
      </c>
      <c r="T211" s="157"/>
      <c r="U211" s="157"/>
      <c r="V211" s="246">
        <f t="shared" si="24"/>
        <v>1078686.8339119412</v>
      </c>
    </row>
    <row r="212" spans="1:22" s="19" customFormat="1" ht="18.75" customHeight="1" x14ac:dyDescent="0.2">
      <c r="A212" s="16"/>
      <c r="B212" s="16"/>
      <c r="C212" s="20" t="s">
        <v>438</v>
      </c>
      <c r="D212" s="19" t="s">
        <v>200</v>
      </c>
      <c r="E212" s="16" t="s">
        <v>4</v>
      </c>
      <c r="F212" s="221">
        <v>0</v>
      </c>
      <c r="G212" s="221">
        <v>54</v>
      </c>
      <c r="I212" s="220" t="s">
        <v>376</v>
      </c>
      <c r="K212" s="247">
        <v>488.8</v>
      </c>
      <c r="L212" s="217">
        <f t="shared" si="20"/>
        <v>26395.200000000001</v>
      </c>
      <c r="M212" s="217">
        <v>130.24</v>
      </c>
      <c r="N212" s="117">
        <f t="shared" si="22"/>
        <v>26395.200000000001</v>
      </c>
      <c r="P212" s="17">
        <f t="shared" si="21"/>
        <v>659427.40080559312</v>
      </c>
      <c r="Q212" s="18"/>
      <c r="R212" s="240">
        <f t="shared" si="23"/>
        <v>2.3800535211850908E-4</v>
      </c>
      <c r="S212" s="223">
        <f t="shared" si="25"/>
        <v>26525.440000000002</v>
      </c>
      <c r="T212" s="157"/>
      <c r="U212" s="157"/>
      <c r="V212" s="246">
        <f t="shared" si="24"/>
        <v>685822.60080559307</v>
      </c>
    </row>
    <row r="213" spans="1:22" s="19" customFormat="1" ht="18.75" customHeight="1" x14ac:dyDescent="0.2">
      <c r="A213" s="16"/>
      <c r="B213" s="16"/>
      <c r="C213" s="20" t="s">
        <v>438</v>
      </c>
      <c r="D213" s="19" t="s">
        <v>200</v>
      </c>
      <c r="E213" s="16" t="s">
        <v>4</v>
      </c>
      <c r="F213" s="221">
        <v>0</v>
      </c>
      <c r="G213" s="221">
        <v>64</v>
      </c>
      <c r="I213" s="220" t="s">
        <v>377</v>
      </c>
      <c r="K213" s="247">
        <v>645.25</v>
      </c>
      <c r="L213" s="217">
        <f t="shared" si="20"/>
        <v>41296</v>
      </c>
      <c r="M213" s="217">
        <v>130.54000000000002</v>
      </c>
      <c r="N213" s="117">
        <f t="shared" si="22"/>
        <v>41296</v>
      </c>
      <c r="P213" s="17">
        <f t="shared" si="21"/>
        <v>1029871.534518143</v>
      </c>
      <c r="Q213" s="18"/>
      <c r="R213" s="240">
        <f t="shared" si="23"/>
        <v>3.7170875354947933E-4</v>
      </c>
      <c r="S213" s="223">
        <f t="shared" si="25"/>
        <v>41426.54</v>
      </c>
      <c r="T213" s="157"/>
      <c r="U213" s="157"/>
      <c r="V213" s="246">
        <f t="shared" si="24"/>
        <v>1071167.5345181432</v>
      </c>
    </row>
    <row r="214" spans="1:22" s="19" customFormat="1" ht="18.75" customHeight="1" x14ac:dyDescent="0.2">
      <c r="A214" s="16"/>
      <c r="B214" s="16"/>
      <c r="C214" s="20" t="s">
        <v>439</v>
      </c>
      <c r="D214" s="19" t="s">
        <v>440</v>
      </c>
      <c r="E214" s="16" t="s">
        <v>4</v>
      </c>
      <c r="F214" s="221">
        <v>0</v>
      </c>
      <c r="G214" s="221">
        <v>44</v>
      </c>
      <c r="I214" s="220" t="s">
        <v>374</v>
      </c>
      <c r="K214" s="247">
        <v>274.2</v>
      </c>
      <c r="L214" s="217">
        <f t="shared" si="20"/>
        <v>12064.8</v>
      </c>
      <c r="M214" s="217">
        <v>130.03</v>
      </c>
      <c r="N214" s="117">
        <f t="shared" si="22"/>
        <v>12064.8</v>
      </c>
      <c r="P214" s="17">
        <f t="shared" si="21"/>
        <v>303165.75522087736</v>
      </c>
      <c r="Q214" s="18"/>
      <c r="R214" s="240">
        <f t="shared" si="23"/>
        <v>1.094207978520001E-4</v>
      </c>
      <c r="S214" s="223">
        <f t="shared" si="25"/>
        <v>12194.83</v>
      </c>
      <c r="T214" s="157"/>
      <c r="U214" s="157"/>
      <c r="V214" s="246">
        <f t="shared" si="24"/>
        <v>315230.55522087734</v>
      </c>
    </row>
    <row r="215" spans="1:22" s="19" customFormat="1" ht="18.75" customHeight="1" x14ac:dyDescent="0.2">
      <c r="A215" s="16"/>
      <c r="B215" s="16"/>
      <c r="C215" s="20" t="s">
        <v>439</v>
      </c>
      <c r="D215" s="19" t="s">
        <v>440</v>
      </c>
      <c r="E215" s="16" t="s">
        <v>4</v>
      </c>
      <c r="F215" s="221">
        <v>0</v>
      </c>
      <c r="G215" s="221">
        <v>4</v>
      </c>
      <c r="I215" s="220" t="s">
        <v>375</v>
      </c>
      <c r="K215" s="247">
        <v>372.6</v>
      </c>
      <c r="L215" s="217">
        <f t="shared" si="20"/>
        <v>1490.4</v>
      </c>
      <c r="M215" s="217">
        <v>130.18</v>
      </c>
      <c r="N215" s="117">
        <f t="shared" si="22"/>
        <v>1490.4</v>
      </c>
      <c r="P215" s="17">
        <f t="shared" si="21"/>
        <v>40287.921979711857</v>
      </c>
      <c r="Q215" s="18"/>
      <c r="R215" s="240">
        <f t="shared" si="23"/>
        <v>1.4541010951607719E-5</v>
      </c>
      <c r="S215" s="223">
        <f t="shared" si="25"/>
        <v>1620.5800000000002</v>
      </c>
      <c r="T215" s="157"/>
      <c r="U215" s="157"/>
      <c r="V215" s="246">
        <f t="shared" si="24"/>
        <v>41778.321979711858</v>
      </c>
    </row>
    <row r="216" spans="1:22" s="19" customFormat="1" ht="18.75" customHeight="1" x14ac:dyDescent="0.2">
      <c r="A216" s="16"/>
      <c r="B216" s="16"/>
      <c r="C216" s="20" t="s">
        <v>441</v>
      </c>
      <c r="D216" s="19" t="s">
        <v>201</v>
      </c>
      <c r="E216" s="16" t="s">
        <v>4</v>
      </c>
      <c r="F216" s="221">
        <v>0</v>
      </c>
      <c r="G216" s="221">
        <v>7</v>
      </c>
      <c r="I216" s="220" t="s">
        <v>374</v>
      </c>
      <c r="K216" s="247">
        <v>274.2</v>
      </c>
      <c r="L216" s="217">
        <f t="shared" si="20"/>
        <v>1919.3999999999999</v>
      </c>
      <c r="M216" s="217">
        <v>130.03</v>
      </c>
      <c r="N216" s="117">
        <f t="shared" si="22"/>
        <v>1919.3999999999999</v>
      </c>
      <c r="P216" s="17">
        <f t="shared" si="21"/>
        <v>50949.213209394686</v>
      </c>
      <c r="Q216" s="18"/>
      <c r="R216" s="240">
        <f t="shared" si="23"/>
        <v>1.8388962022580434E-5</v>
      </c>
      <c r="S216" s="223">
        <f t="shared" si="25"/>
        <v>2049.4299999999998</v>
      </c>
      <c r="T216" s="157"/>
      <c r="U216" s="157"/>
      <c r="V216" s="246">
        <f t="shared" si="24"/>
        <v>52868.613209394687</v>
      </c>
    </row>
    <row r="217" spans="1:22" s="19" customFormat="1" ht="18.75" customHeight="1" x14ac:dyDescent="0.2">
      <c r="A217" s="16"/>
      <c r="B217" s="16"/>
      <c r="C217" s="20" t="s">
        <v>442</v>
      </c>
      <c r="D217" s="19" t="s">
        <v>202</v>
      </c>
      <c r="E217" s="16" t="s">
        <v>4</v>
      </c>
      <c r="F217" s="221">
        <v>1</v>
      </c>
      <c r="G217" s="221">
        <v>0</v>
      </c>
      <c r="I217" s="220" t="s">
        <v>376</v>
      </c>
      <c r="K217" s="247">
        <v>16195.6</v>
      </c>
      <c r="L217" s="217">
        <f t="shared" ref="L217:L271" si="26">+K217*F217</f>
        <v>16195.6</v>
      </c>
      <c r="M217" s="217">
        <v>9552.07</v>
      </c>
      <c r="N217" s="117">
        <f t="shared" si="22"/>
        <v>16195.6</v>
      </c>
      <c r="P217" s="17">
        <f t="shared" si="21"/>
        <v>640091.89309961081</v>
      </c>
      <c r="Q217" s="18"/>
      <c r="R217" s="240">
        <f t="shared" si="23"/>
        <v>2.3102663950461035E-4</v>
      </c>
      <c r="S217" s="223">
        <f t="shared" si="25"/>
        <v>25747.67</v>
      </c>
      <c r="T217" s="157"/>
      <c r="U217" s="157"/>
      <c r="V217" s="246">
        <f t="shared" si="24"/>
        <v>656287.49309961079</v>
      </c>
    </row>
    <row r="218" spans="1:22" s="19" customFormat="1" ht="18.75" customHeight="1" x14ac:dyDescent="0.2">
      <c r="A218" s="16"/>
      <c r="B218" s="16"/>
      <c r="C218" s="20" t="s">
        <v>442</v>
      </c>
      <c r="D218" s="19" t="s">
        <v>202</v>
      </c>
      <c r="E218" s="16" t="s">
        <v>4</v>
      </c>
      <c r="F218" s="221">
        <v>1</v>
      </c>
      <c r="G218" s="221">
        <v>0</v>
      </c>
      <c r="I218" s="220" t="s">
        <v>378</v>
      </c>
      <c r="K218" s="247">
        <v>22493.85</v>
      </c>
      <c r="L218" s="217">
        <f t="shared" si="26"/>
        <v>22493.85</v>
      </c>
      <c r="M218" s="217">
        <v>9552.07</v>
      </c>
      <c r="N218" s="117">
        <f t="shared" si="22"/>
        <v>22493.85</v>
      </c>
      <c r="P218" s="17">
        <f t="shared" si="21"/>
        <v>796667.5663824603</v>
      </c>
      <c r="Q218" s="18"/>
      <c r="R218" s="240">
        <f t="shared" si="23"/>
        <v>2.8753907469816038E-4</v>
      </c>
      <c r="S218" s="223">
        <f t="shared" si="25"/>
        <v>32045.919999999998</v>
      </c>
      <c r="T218" s="157"/>
      <c r="U218" s="157"/>
      <c r="V218" s="246">
        <f t="shared" si="24"/>
        <v>819161.41638246027</v>
      </c>
    </row>
    <row r="219" spans="1:22" s="19" customFormat="1" ht="18.75" customHeight="1" x14ac:dyDescent="0.2">
      <c r="A219" s="16"/>
      <c r="B219" s="16"/>
      <c r="C219" s="20" t="s">
        <v>443</v>
      </c>
      <c r="D219" s="19" t="s">
        <v>203</v>
      </c>
      <c r="E219" s="16" t="s">
        <v>4</v>
      </c>
      <c r="F219" s="221">
        <v>4</v>
      </c>
      <c r="G219" s="221">
        <v>0</v>
      </c>
      <c r="I219" s="220" t="s">
        <v>374</v>
      </c>
      <c r="K219" s="247">
        <v>7840.45</v>
      </c>
      <c r="L219" s="217">
        <f t="shared" si="26"/>
        <v>31361.8</v>
      </c>
      <c r="M219" s="217">
        <v>9325.08</v>
      </c>
      <c r="N219" s="117">
        <f t="shared" si="22"/>
        <v>31361.8</v>
      </c>
      <c r="P219" s="17">
        <f t="shared" si="21"/>
        <v>1011483.4485418174</v>
      </c>
      <c r="Q219" s="18"/>
      <c r="R219" s="240">
        <f t="shared" si="23"/>
        <v>3.6507199130357586E-4</v>
      </c>
      <c r="S219" s="223">
        <f t="shared" si="25"/>
        <v>40686.879999999997</v>
      </c>
      <c r="T219" s="157"/>
      <c r="U219" s="157"/>
      <c r="V219" s="246">
        <f t="shared" si="24"/>
        <v>1042845.2485418174</v>
      </c>
    </row>
    <row r="220" spans="1:22" s="19" customFormat="1" ht="18.75" customHeight="1" x14ac:dyDescent="0.2">
      <c r="A220" s="16"/>
      <c r="B220" s="16"/>
      <c r="C220" s="20" t="s">
        <v>443</v>
      </c>
      <c r="D220" s="19" t="s">
        <v>203</v>
      </c>
      <c r="E220" s="16" t="s">
        <v>4</v>
      </c>
      <c r="F220" s="221">
        <v>1</v>
      </c>
      <c r="G220" s="221">
        <v>0</v>
      </c>
      <c r="I220" s="220" t="s">
        <v>375</v>
      </c>
      <c r="K220" s="247">
        <v>9520.5499999999993</v>
      </c>
      <c r="L220" s="217">
        <f t="shared" si="26"/>
        <v>9520.5499999999993</v>
      </c>
      <c r="M220" s="217">
        <v>9325.08</v>
      </c>
      <c r="N220" s="117">
        <f t="shared" si="22"/>
        <v>9520.5499999999993</v>
      </c>
      <c r="P220" s="17">
        <f t="shared" si="21"/>
        <v>468505.88745913003</v>
      </c>
      <c r="Q220" s="18"/>
      <c r="R220" s="240">
        <f t="shared" si="23"/>
        <v>1.6909656556291384E-4</v>
      </c>
      <c r="S220" s="223">
        <f t="shared" si="25"/>
        <v>18845.629999999997</v>
      </c>
      <c r="T220" s="157"/>
      <c r="U220" s="157"/>
      <c r="V220" s="246">
        <f t="shared" si="24"/>
        <v>478026.43745913001</v>
      </c>
    </row>
    <row r="221" spans="1:22" s="19" customFormat="1" ht="18.75" customHeight="1" x14ac:dyDescent="0.2">
      <c r="A221" s="16"/>
      <c r="B221" s="16"/>
      <c r="C221" s="20" t="s">
        <v>443</v>
      </c>
      <c r="D221" s="19" t="s">
        <v>203</v>
      </c>
      <c r="E221" s="16" t="s">
        <v>4</v>
      </c>
      <c r="F221" s="221">
        <v>1</v>
      </c>
      <c r="G221" s="221">
        <v>0</v>
      </c>
      <c r="I221" s="220" t="s">
        <v>376</v>
      </c>
      <c r="K221" s="247">
        <v>11447.3</v>
      </c>
      <c r="L221" s="217">
        <f t="shared" si="26"/>
        <v>11447.3</v>
      </c>
      <c r="M221" s="217">
        <v>9325.08</v>
      </c>
      <c r="N221" s="117">
        <f t="shared" si="22"/>
        <v>11447.3</v>
      </c>
      <c r="P221" s="17">
        <f t="shared" si="21"/>
        <v>516405.25291742879</v>
      </c>
      <c r="Q221" s="18"/>
      <c r="R221" s="240">
        <f t="shared" si="23"/>
        <v>1.8638475426758141E-4</v>
      </c>
      <c r="S221" s="223">
        <f t="shared" si="25"/>
        <v>20772.379999999997</v>
      </c>
      <c r="T221" s="157"/>
      <c r="U221" s="157"/>
      <c r="V221" s="246">
        <f t="shared" si="24"/>
        <v>527852.55291742878</v>
      </c>
    </row>
    <row r="222" spans="1:22" s="19" customFormat="1" ht="18.75" customHeight="1" x14ac:dyDescent="0.2">
      <c r="A222" s="16"/>
      <c r="B222" s="16"/>
      <c r="C222" s="20" t="s">
        <v>443</v>
      </c>
      <c r="D222" s="19" t="s">
        <v>203</v>
      </c>
      <c r="E222" s="16" t="s">
        <v>4</v>
      </c>
      <c r="F222" s="221">
        <v>1</v>
      </c>
      <c r="G222" s="221">
        <v>0</v>
      </c>
      <c r="I222" s="220" t="s">
        <v>378</v>
      </c>
      <c r="K222" s="247">
        <v>15899.05</v>
      </c>
      <c r="L222" s="217">
        <f t="shared" si="26"/>
        <v>15899.05</v>
      </c>
      <c r="M222" s="217">
        <v>9325.08</v>
      </c>
      <c r="N222" s="117">
        <f t="shared" si="22"/>
        <v>15899.05</v>
      </c>
      <c r="P222" s="17">
        <f t="shared" si="21"/>
        <v>627076.590755229</v>
      </c>
      <c r="Q222" s="18"/>
      <c r="R222" s="240">
        <f t="shared" si="23"/>
        <v>2.2632906155498447E-4</v>
      </c>
      <c r="S222" s="223">
        <f t="shared" si="25"/>
        <v>25224.129999999997</v>
      </c>
      <c r="T222" s="157"/>
      <c r="U222" s="157"/>
      <c r="V222" s="246">
        <f t="shared" si="24"/>
        <v>642975.64075522905</v>
      </c>
    </row>
    <row r="223" spans="1:22" s="19" customFormat="1" ht="18.75" customHeight="1" x14ac:dyDescent="0.2">
      <c r="A223" s="16"/>
      <c r="B223" s="16"/>
      <c r="C223" s="20" t="s">
        <v>444</v>
      </c>
      <c r="D223" s="19" t="s">
        <v>204</v>
      </c>
      <c r="E223" s="16" t="s">
        <v>4</v>
      </c>
      <c r="F223" s="221">
        <v>42</v>
      </c>
      <c r="G223" s="221">
        <v>0</v>
      </c>
      <c r="I223" s="220" t="s">
        <v>374</v>
      </c>
      <c r="K223" s="247">
        <v>6414.25</v>
      </c>
      <c r="L223" s="217">
        <f t="shared" si="26"/>
        <v>269398.5</v>
      </c>
      <c r="M223" s="217">
        <v>2904.06</v>
      </c>
      <c r="N223" s="117">
        <f t="shared" si="22"/>
        <v>269398.5</v>
      </c>
      <c r="P223" s="17">
        <f t="shared" si="21"/>
        <v>6769492.5842326852</v>
      </c>
      <c r="Q223" s="18"/>
      <c r="R223" s="240">
        <f t="shared" si="23"/>
        <v>2.4432946890069096E-3</v>
      </c>
      <c r="S223" s="223">
        <f t="shared" si="25"/>
        <v>272302.56</v>
      </c>
      <c r="T223" s="157"/>
      <c r="U223" s="157"/>
      <c r="V223" s="246">
        <f t="shared" si="24"/>
        <v>7038891.0842326852</v>
      </c>
    </row>
    <row r="224" spans="1:22" s="19" customFormat="1" ht="18.75" customHeight="1" x14ac:dyDescent="0.2">
      <c r="A224" s="16"/>
      <c r="B224" s="16"/>
      <c r="C224" s="20" t="s">
        <v>445</v>
      </c>
      <c r="D224" s="19" t="s">
        <v>205</v>
      </c>
      <c r="E224" s="16" t="s">
        <v>4</v>
      </c>
      <c r="F224" s="221">
        <v>13</v>
      </c>
      <c r="G224" s="221">
        <v>0</v>
      </c>
      <c r="I224" s="220" t="s">
        <v>374</v>
      </c>
      <c r="K224" s="247">
        <v>6706.35</v>
      </c>
      <c r="L224" s="217">
        <f t="shared" si="26"/>
        <v>87182.55</v>
      </c>
      <c r="M224" s="217">
        <v>2913.65</v>
      </c>
      <c r="N224" s="117">
        <f t="shared" si="22"/>
        <v>87182.55</v>
      </c>
      <c r="P224" s="17">
        <f t="shared" si="21"/>
        <v>2239808.3872863511</v>
      </c>
      <c r="Q224" s="18"/>
      <c r="R224" s="240">
        <f t="shared" si="23"/>
        <v>8.0840799645697165E-4</v>
      </c>
      <c r="S224" s="223">
        <f t="shared" si="25"/>
        <v>90096.2</v>
      </c>
      <c r="T224" s="157"/>
      <c r="U224" s="157"/>
      <c r="V224" s="246">
        <f t="shared" si="24"/>
        <v>2326990.9372863509</v>
      </c>
    </row>
    <row r="225" spans="1:22" s="19" customFormat="1" ht="18.75" customHeight="1" x14ac:dyDescent="0.2">
      <c r="A225" s="16"/>
      <c r="B225" s="16"/>
      <c r="C225" s="20" t="s">
        <v>446</v>
      </c>
      <c r="D225" s="19" t="s">
        <v>206</v>
      </c>
      <c r="E225" s="16" t="s">
        <v>4</v>
      </c>
      <c r="F225" s="221">
        <v>6</v>
      </c>
      <c r="G225" s="221">
        <v>0</v>
      </c>
      <c r="I225" s="220" t="s">
        <v>374</v>
      </c>
      <c r="K225" s="247">
        <v>7150.8</v>
      </c>
      <c r="L225" s="217">
        <f t="shared" si="26"/>
        <v>42904.800000000003</v>
      </c>
      <c r="M225" s="217">
        <v>2923.2400000000002</v>
      </c>
      <c r="N225" s="117">
        <f t="shared" si="22"/>
        <v>42904.800000000003</v>
      </c>
      <c r="P225" s="17">
        <f t="shared" si="21"/>
        <v>1139293.6479551233</v>
      </c>
      <c r="Q225" s="18"/>
      <c r="R225" s="240">
        <f t="shared" si="23"/>
        <v>4.1120218164528535E-4</v>
      </c>
      <c r="S225" s="223">
        <f t="shared" si="25"/>
        <v>45828.04</v>
      </c>
      <c r="T225" s="157"/>
      <c r="U225" s="157"/>
      <c r="V225" s="246">
        <f t="shared" si="24"/>
        <v>1182198.4479551234</v>
      </c>
    </row>
    <row r="226" spans="1:22" s="19" customFormat="1" ht="18.75" customHeight="1" x14ac:dyDescent="0.2">
      <c r="A226" s="16"/>
      <c r="B226" s="16"/>
      <c r="C226" s="20" t="s">
        <v>446</v>
      </c>
      <c r="D226" s="19" t="s">
        <v>206</v>
      </c>
      <c r="E226" s="16" t="s">
        <v>4</v>
      </c>
      <c r="F226" s="221">
        <v>3</v>
      </c>
      <c r="G226" s="221">
        <v>0</v>
      </c>
      <c r="I226" s="220" t="s">
        <v>375</v>
      </c>
      <c r="K226" s="247">
        <v>9037.9500000000007</v>
      </c>
      <c r="L226" s="217">
        <f t="shared" si="26"/>
        <v>27113.850000000002</v>
      </c>
      <c r="M226" s="217">
        <v>3027.09</v>
      </c>
      <c r="N226" s="117">
        <f t="shared" si="22"/>
        <v>27113.850000000002</v>
      </c>
      <c r="P226" s="17">
        <f t="shared" si="21"/>
        <v>749309.40719691478</v>
      </c>
      <c r="Q226" s="18"/>
      <c r="R226" s="240">
        <f t="shared" si="23"/>
        <v>2.7044622211291707E-4</v>
      </c>
      <c r="S226" s="223">
        <f t="shared" si="25"/>
        <v>30140.940000000002</v>
      </c>
      <c r="T226" s="157"/>
      <c r="U226" s="157"/>
      <c r="V226" s="246">
        <f t="shared" si="24"/>
        <v>776423.25719691475</v>
      </c>
    </row>
    <row r="227" spans="1:22" s="19" customFormat="1" ht="18.75" customHeight="1" x14ac:dyDescent="0.2">
      <c r="A227" s="16"/>
      <c r="B227" s="16"/>
      <c r="C227" s="20" t="s">
        <v>447</v>
      </c>
      <c r="D227" s="19" t="s">
        <v>207</v>
      </c>
      <c r="E227" s="16"/>
      <c r="F227" s="221">
        <v>3</v>
      </c>
      <c r="G227" s="221">
        <v>0</v>
      </c>
      <c r="I227" s="220" t="s">
        <v>374</v>
      </c>
      <c r="K227" s="247">
        <v>7898.2</v>
      </c>
      <c r="L227" s="217">
        <f t="shared" si="26"/>
        <v>23694.6</v>
      </c>
      <c r="M227" s="217">
        <v>3033.5</v>
      </c>
      <c r="N227" s="117">
        <f t="shared" si="22"/>
        <v>23694.6</v>
      </c>
      <c r="P227" s="17">
        <f t="shared" si="21"/>
        <v>664465.56631942652</v>
      </c>
      <c r="Q227" s="18"/>
      <c r="R227" s="240">
        <f t="shared" si="23"/>
        <v>2.3982376360048019E-4</v>
      </c>
      <c r="S227" s="223">
        <f t="shared" si="25"/>
        <v>26728.1</v>
      </c>
      <c r="T227" s="157"/>
      <c r="U227" s="157"/>
      <c r="V227" s="246">
        <f t="shared" si="24"/>
        <v>688160.1663194265</v>
      </c>
    </row>
    <row r="228" spans="1:22" s="19" customFormat="1" ht="18.75" customHeight="1" x14ac:dyDescent="0.2">
      <c r="A228" s="16"/>
      <c r="B228" s="16"/>
      <c r="C228" s="20" t="s">
        <v>448</v>
      </c>
      <c r="D228" s="19" t="s">
        <v>449</v>
      </c>
      <c r="E228" s="16" t="s">
        <v>4</v>
      </c>
      <c r="F228" s="221">
        <v>1</v>
      </c>
      <c r="G228" s="221">
        <v>0</v>
      </c>
      <c r="I228" s="220" t="s">
        <v>375</v>
      </c>
      <c r="K228" s="247">
        <v>14936</v>
      </c>
      <c r="L228" s="217">
        <f t="shared" si="26"/>
        <v>14936</v>
      </c>
      <c r="M228" s="217">
        <v>10030.130000000001</v>
      </c>
      <c r="N228" s="117">
        <f t="shared" si="22"/>
        <v>14936</v>
      </c>
      <c r="P228" s="17">
        <f t="shared" si="21"/>
        <v>620662.66248833342</v>
      </c>
      <c r="Q228" s="18"/>
      <c r="R228" s="240">
        <f t="shared" si="23"/>
        <v>2.2401409973544161E-4</v>
      </c>
      <c r="S228" s="223">
        <f t="shared" si="25"/>
        <v>24966.13</v>
      </c>
      <c r="T228" s="157"/>
      <c r="U228" s="157"/>
      <c r="V228" s="246">
        <f t="shared" si="24"/>
        <v>635598.66248833342</v>
      </c>
    </row>
    <row r="229" spans="1:22" s="19" customFormat="1" ht="18.75" customHeight="1" x14ac:dyDescent="0.2">
      <c r="A229" s="16"/>
      <c r="B229" s="16"/>
      <c r="C229" s="20" t="s">
        <v>450</v>
      </c>
      <c r="D229" s="19" t="s">
        <v>208</v>
      </c>
      <c r="E229" s="16" t="s">
        <v>4</v>
      </c>
      <c r="F229" s="221">
        <v>12</v>
      </c>
      <c r="G229" s="221">
        <v>0</v>
      </c>
      <c r="I229" s="220" t="s">
        <v>374</v>
      </c>
      <c r="K229" s="247">
        <v>5127.3</v>
      </c>
      <c r="L229" s="217">
        <f t="shared" si="26"/>
        <v>61527.600000000006</v>
      </c>
      <c r="M229" s="217">
        <v>2849.43</v>
      </c>
      <c r="N229" s="117">
        <f t="shared" si="22"/>
        <v>61527.600000000006</v>
      </c>
      <c r="P229" s="17">
        <f t="shared" si="21"/>
        <v>1600425.0095185486</v>
      </c>
      <c r="Q229" s="18"/>
      <c r="R229" s="240">
        <f t="shared" si="23"/>
        <v>5.7763707947893882E-4</v>
      </c>
      <c r="S229" s="223">
        <f t="shared" si="25"/>
        <v>64377.030000000006</v>
      </c>
      <c r="T229" s="157"/>
      <c r="U229" s="157"/>
      <c r="V229" s="246">
        <f t="shared" si="24"/>
        <v>1661952.6095185487</v>
      </c>
    </row>
    <row r="230" spans="1:22" s="19" customFormat="1" ht="18.75" customHeight="1" x14ac:dyDescent="0.2">
      <c r="A230" s="16"/>
      <c r="B230" s="16"/>
      <c r="C230" s="20" t="s">
        <v>451</v>
      </c>
      <c r="D230" s="19" t="s">
        <v>209</v>
      </c>
      <c r="E230" s="16" t="s">
        <v>4</v>
      </c>
      <c r="F230" s="221">
        <v>16</v>
      </c>
      <c r="G230" s="221">
        <v>0</v>
      </c>
      <c r="I230" s="220" t="s">
        <v>374</v>
      </c>
      <c r="K230" s="247">
        <v>5268.4</v>
      </c>
      <c r="L230" s="217">
        <f t="shared" si="26"/>
        <v>84294.399999999994</v>
      </c>
      <c r="M230" s="217">
        <v>2857.86</v>
      </c>
      <c r="N230" s="117">
        <f t="shared" si="22"/>
        <v>84294.399999999994</v>
      </c>
      <c r="P230" s="17">
        <f t="shared" si="21"/>
        <v>2166621.4881311394</v>
      </c>
      <c r="Q230" s="18"/>
      <c r="R230" s="240">
        <f t="shared" si="23"/>
        <v>7.8199284646075058E-4</v>
      </c>
      <c r="S230" s="223">
        <f t="shared" si="25"/>
        <v>87152.26</v>
      </c>
      <c r="T230" s="157"/>
      <c r="U230" s="157"/>
      <c r="V230" s="246">
        <f t="shared" si="24"/>
        <v>2250915.8881311393</v>
      </c>
    </row>
    <row r="231" spans="1:22" s="19" customFormat="1" ht="18.75" customHeight="1" x14ac:dyDescent="0.2">
      <c r="A231" s="16"/>
      <c r="B231" s="16"/>
      <c r="C231" s="20" t="s">
        <v>452</v>
      </c>
      <c r="D231" s="19" t="s">
        <v>210</v>
      </c>
      <c r="E231" s="16" t="s">
        <v>4</v>
      </c>
      <c r="F231" s="221">
        <v>4</v>
      </c>
      <c r="G231" s="221">
        <v>0</v>
      </c>
      <c r="I231" s="220" t="s">
        <v>374</v>
      </c>
      <c r="K231" s="247">
        <v>4179.55</v>
      </c>
      <c r="L231" s="217">
        <f t="shared" si="26"/>
        <v>16718.2</v>
      </c>
      <c r="M231" s="217">
        <v>1879.57</v>
      </c>
      <c r="N231" s="117">
        <f t="shared" si="22"/>
        <v>16718.2</v>
      </c>
      <c r="P231" s="17">
        <f t="shared" si="21"/>
        <v>462344.04148923571</v>
      </c>
      <c r="Q231" s="18"/>
      <c r="R231" s="240">
        <f t="shared" si="23"/>
        <v>1.6687258712651116E-4</v>
      </c>
      <c r="S231" s="223">
        <f t="shared" si="25"/>
        <v>18597.77</v>
      </c>
      <c r="T231" s="157"/>
      <c r="U231" s="157"/>
      <c r="V231" s="246">
        <f t="shared" si="24"/>
        <v>479062.24148923572</v>
      </c>
    </row>
    <row r="232" spans="1:22" s="19" customFormat="1" ht="18.75" customHeight="1" x14ac:dyDescent="0.2">
      <c r="A232" s="16"/>
      <c r="B232" s="16"/>
      <c r="C232" s="20" t="s">
        <v>453</v>
      </c>
      <c r="D232" s="19" t="s">
        <v>211</v>
      </c>
      <c r="E232" s="16" t="s">
        <v>4</v>
      </c>
      <c r="F232" s="221">
        <v>8</v>
      </c>
      <c r="G232" s="221">
        <v>0</v>
      </c>
      <c r="I232" s="220" t="s">
        <v>374</v>
      </c>
      <c r="K232" s="247">
        <v>6049.75</v>
      </c>
      <c r="L232" s="217">
        <f t="shared" si="26"/>
        <v>48398</v>
      </c>
      <c r="M232" s="217">
        <v>4762.3200000000006</v>
      </c>
      <c r="N232" s="117">
        <f t="shared" si="22"/>
        <v>48398</v>
      </c>
      <c r="P232" s="17">
        <f t="shared" si="21"/>
        <v>1321575.5004853294</v>
      </c>
      <c r="Q232" s="18"/>
      <c r="R232" s="240">
        <f t="shared" si="23"/>
        <v>4.7699267873907534E-4</v>
      </c>
      <c r="S232" s="223">
        <f t="shared" si="25"/>
        <v>53160.32</v>
      </c>
      <c r="T232" s="157"/>
      <c r="U232" s="157"/>
      <c r="V232" s="246">
        <f t="shared" si="24"/>
        <v>1369973.5004853294</v>
      </c>
    </row>
    <row r="233" spans="1:22" s="19" customFormat="1" ht="18.75" customHeight="1" x14ac:dyDescent="0.2">
      <c r="A233" s="16"/>
      <c r="B233" s="16"/>
      <c r="C233" s="20" t="s">
        <v>453</v>
      </c>
      <c r="D233" s="19" t="s">
        <v>211</v>
      </c>
      <c r="E233" s="16" t="s">
        <v>4</v>
      </c>
      <c r="F233" s="221">
        <v>6</v>
      </c>
      <c r="G233" s="221">
        <v>0</v>
      </c>
      <c r="I233" s="220" t="s">
        <v>375</v>
      </c>
      <c r="K233" s="247">
        <v>8227.65</v>
      </c>
      <c r="L233" s="217">
        <f t="shared" si="26"/>
        <v>49365.899999999994</v>
      </c>
      <c r="M233" s="217">
        <v>4762.3200000000006</v>
      </c>
      <c r="N233" s="117">
        <f t="shared" si="22"/>
        <v>49365.899999999994</v>
      </c>
      <c r="P233" s="17">
        <f t="shared" si="21"/>
        <v>1345637.6755610204</v>
      </c>
      <c r="Q233" s="18"/>
      <c r="R233" s="240">
        <f t="shared" si="23"/>
        <v>4.8567737465045341E-4</v>
      </c>
      <c r="S233" s="223">
        <f t="shared" si="25"/>
        <v>54128.219999999994</v>
      </c>
      <c r="T233" s="157"/>
      <c r="U233" s="157"/>
      <c r="V233" s="246">
        <f t="shared" si="24"/>
        <v>1395003.5755610203</v>
      </c>
    </row>
    <row r="234" spans="1:22" s="19" customFormat="1" ht="18.75" customHeight="1" x14ac:dyDescent="0.2">
      <c r="A234" s="16"/>
      <c r="B234" s="16"/>
      <c r="C234" s="20" t="s">
        <v>453</v>
      </c>
      <c r="D234" s="19" t="s">
        <v>211</v>
      </c>
      <c r="E234" s="16" t="s">
        <v>4</v>
      </c>
      <c r="F234" s="221">
        <v>1</v>
      </c>
      <c r="G234" s="221">
        <v>0</v>
      </c>
      <c r="I234" s="220" t="s">
        <v>376</v>
      </c>
      <c r="K234" s="247">
        <v>11025.15</v>
      </c>
      <c r="L234" s="217">
        <f t="shared" si="26"/>
        <v>11025.15</v>
      </c>
      <c r="M234" s="217">
        <v>4762.3200000000006</v>
      </c>
      <c r="N234" s="117">
        <f t="shared" si="22"/>
        <v>11025.15</v>
      </c>
      <c r="P234" s="17">
        <f t="shared" si="21"/>
        <v>392479.45773552771</v>
      </c>
      <c r="Q234" s="18"/>
      <c r="R234" s="240">
        <f t="shared" si="23"/>
        <v>1.4165655146193234E-4</v>
      </c>
      <c r="S234" s="223">
        <f t="shared" si="25"/>
        <v>15787.470000000001</v>
      </c>
      <c r="T234" s="157"/>
      <c r="U234" s="157"/>
      <c r="V234" s="246">
        <f t="shared" si="24"/>
        <v>403504.60773552774</v>
      </c>
    </row>
    <row r="235" spans="1:22" s="19" customFormat="1" ht="18.75" customHeight="1" x14ac:dyDescent="0.2">
      <c r="A235" s="16"/>
      <c r="B235" s="16"/>
      <c r="C235" s="20" t="s">
        <v>454</v>
      </c>
      <c r="D235" s="19" t="s">
        <v>212</v>
      </c>
      <c r="E235" s="16" t="s">
        <v>4</v>
      </c>
      <c r="F235" s="221">
        <v>1</v>
      </c>
      <c r="G235" s="221">
        <v>0</v>
      </c>
      <c r="I235" s="220" t="s">
        <v>374</v>
      </c>
      <c r="K235" s="247">
        <v>11092.6</v>
      </c>
      <c r="L235" s="217">
        <f t="shared" si="26"/>
        <v>11092.6</v>
      </c>
      <c r="M235" s="217">
        <v>9974.9700000000012</v>
      </c>
      <c r="N235" s="117">
        <f t="shared" si="22"/>
        <v>11092.6</v>
      </c>
      <c r="P235" s="17">
        <f t="shared" si="21"/>
        <v>523743.73154186644</v>
      </c>
      <c r="Q235" s="18"/>
      <c r="R235" s="240">
        <f t="shared" si="23"/>
        <v>1.8903341155250723E-4</v>
      </c>
      <c r="S235" s="223">
        <f t="shared" si="25"/>
        <v>21067.57</v>
      </c>
      <c r="T235" s="157"/>
      <c r="U235" s="157"/>
      <c r="V235" s="246">
        <f t="shared" si="24"/>
        <v>534836.33154186641</v>
      </c>
    </row>
    <row r="236" spans="1:22" s="19" customFormat="1" ht="18.75" customHeight="1" x14ac:dyDescent="0.2">
      <c r="A236" s="16"/>
      <c r="B236" s="16"/>
      <c r="C236" s="20" t="s">
        <v>454</v>
      </c>
      <c r="D236" s="19" t="s">
        <v>212</v>
      </c>
      <c r="E236" s="16" t="s">
        <v>4</v>
      </c>
      <c r="F236" s="221">
        <v>2</v>
      </c>
      <c r="G236" s="221">
        <v>0</v>
      </c>
      <c r="I236" s="220" t="s">
        <v>375</v>
      </c>
      <c r="K236" s="247">
        <v>13469.6</v>
      </c>
      <c r="L236" s="217">
        <f t="shared" si="26"/>
        <v>26939.200000000001</v>
      </c>
      <c r="M236" s="217">
        <v>9974.9700000000012</v>
      </c>
      <c r="N236" s="117">
        <f t="shared" si="22"/>
        <v>26939.200000000001</v>
      </c>
      <c r="P236" s="17">
        <f t="shared" si="21"/>
        <v>917693.17213949305</v>
      </c>
      <c r="Q236" s="18"/>
      <c r="R236" s="240">
        <f t="shared" si="23"/>
        <v>3.3122051996168592E-4</v>
      </c>
      <c r="S236" s="223">
        <f t="shared" si="25"/>
        <v>36914.17</v>
      </c>
      <c r="T236" s="157"/>
      <c r="U236" s="157"/>
      <c r="V236" s="246">
        <f t="shared" si="24"/>
        <v>944632.372139493</v>
      </c>
    </row>
    <row r="237" spans="1:22" s="19" customFormat="1" ht="18.75" customHeight="1" x14ac:dyDescent="0.2">
      <c r="A237" s="16"/>
      <c r="B237" s="16"/>
      <c r="C237" s="20" t="s">
        <v>455</v>
      </c>
      <c r="D237" s="19" t="s">
        <v>213</v>
      </c>
      <c r="E237" s="16" t="s">
        <v>4</v>
      </c>
      <c r="F237" s="221">
        <v>4</v>
      </c>
      <c r="G237" s="221">
        <v>0</v>
      </c>
      <c r="I237" s="220" t="s">
        <v>374</v>
      </c>
      <c r="K237" s="247">
        <v>6111.35</v>
      </c>
      <c r="L237" s="217">
        <f t="shared" si="26"/>
        <v>24445.4</v>
      </c>
      <c r="M237" s="217">
        <v>4762.3200000000006</v>
      </c>
      <c r="N237" s="117">
        <f t="shared" si="22"/>
        <v>24445.4</v>
      </c>
      <c r="P237" s="17">
        <f t="shared" si="21"/>
        <v>726109.38340919267</v>
      </c>
      <c r="Q237" s="18"/>
      <c r="R237" s="240">
        <f t="shared" si="23"/>
        <v>2.6207270013914265E-4</v>
      </c>
      <c r="S237" s="223">
        <f t="shared" si="25"/>
        <v>29207.72</v>
      </c>
      <c r="T237" s="157"/>
      <c r="U237" s="157"/>
      <c r="V237" s="246">
        <f t="shared" si="24"/>
        <v>750554.78340919269</v>
      </c>
    </row>
    <row r="238" spans="1:22" s="19" customFormat="1" ht="18.75" customHeight="1" x14ac:dyDescent="0.2">
      <c r="A238" s="16"/>
      <c r="B238" s="16"/>
      <c r="C238" s="20" t="s">
        <v>455</v>
      </c>
      <c r="D238" s="19" t="s">
        <v>213</v>
      </c>
      <c r="E238" s="16" t="s">
        <v>4</v>
      </c>
      <c r="F238" s="221">
        <v>10</v>
      </c>
      <c r="G238" s="221">
        <v>0</v>
      </c>
      <c r="I238" s="220" t="s">
        <v>375</v>
      </c>
      <c r="K238" s="247">
        <v>8311.5</v>
      </c>
      <c r="L238" s="217">
        <f t="shared" si="26"/>
        <v>83115</v>
      </c>
      <c r="M238" s="217">
        <v>4762.3200000000006</v>
      </c>
      <c r="N238" s="117">
        <f t="shared" si="22"/>
        <v>83115</v>
      </c>
      <c r="P238" s="17">
        <f t="shared" si="21"/>
        <v>2184646.6153760827</v>
      </c>
      <c r="Q238" s="18"/>
      <c r="R238" s="240">
        <f t="shared" si="23"/>
        <v>7.884986069912846E-4</v>
      </c>
      <c r="S238" s="223">
        <f t="shared" si="25"/>
        <v>87877.32</v>
      </c>
      <c r="T238" s="157"/>
      <c r="U238" s="157"/>
      <c r="V238" s="246">
        <f t="shared" si="24"/>
        <v>2267761.6153760827</v>
      </c>
    </row>
    <row r="239" spans="1:22" s="19" customFormat="1" ht="18.75" customHeight="1" x14ac:dyDescent="0.2">
      <c r="A239" s="16"/>
      <c r="B239" s="16"/>
      <c r="C239" s="20" t="s">
        <v>455</v>
      </c>
      <c r="D239" s="19" t="s">
        <v>213</v>
      </c>
      <c r="E239" s="16" t="s">
        <v>4</v>
      </c>
      <c r="F239" s="221">
        <v>1</v>
      </c>
      <c r="G239" s="221">
        <v>0</v>
      </c>
      <c r="I239" s="220" t="s">
        <v>377</v>
      </c>
      <c r="K239" s="247">
        <v>14701.3</v>
      </c>
      <c r="L239" s="217">
        <f t="shared" si="26"/>
        <v>14701.3</v>
      </c>
      <c r="M239" s="217">
        <v>4762.3200000000006</v>
      </c>
      <c r="N239" s="117">
        <f t="shared" si="22"/>
        <v>14701.3</v>
      </c>
      <c r="P239" s="17">
        <f t="shared" si="21"/>
        <v>483869.23447331152</v>
      </c>
      <c r="Q239" s="18"/>
      <c r="R239" s="240">
        <f t="shared" si="23"/>
        <v>1.746416169383375E-4</v>
      </c>
      <c r="S239" s="223">
        <f t="shared" si="25"/>
        <v>19463.62</v>
      </c>
      <c r="T239" s="157"/>
      <c r="U239" s="157"/>
      <c r="V239" s="246">
        <f t="shared" si="24"/>
        <v>498570.53447331151</v>
      </c>
    </row>
    <row r="240" spans="1:22" s="19" customFormat="1" ht="18.75" customHeight="1" x14ac:dyDescent="0.2">
      <c r="A240" s="16"/>
      <c r="B240" s="16"/>
      <c r="C240" s="20" t="s">
        <v>456</v>
      </c>
      <c r="D240" s="19" t="s">
        <v>214</v>
      </c>
      <c r="E240" s="16" t="s">
        <v>4</v>
      </c>
      <c r="F240" s="221">
        <v>66</v>
      </c>
      <c r="G240" s="221">
        <v>0</v>
      </c>
      <c r="I240" s="220" t="s">
        <v>374</v>
      </c>
      <c r="K240" s="247">
        <v>5268.4</v>
      </c>
      <c r="L240" s="217">
        <f t="shared" si="26"/>
        <v>347714.39999999997</v>
      </c>
      <c r="M240" s="217">
        <v>2857.86</v>
      </c>
      <c r="N240" s="117">
        <f t="shared" si="22"/>
        <v>347714.39999999997</v>
      </c>
      <c r="P240" s="17">
        <f t="shared" si="21"/>
        <v>8715291.9690056983</v>
      </c>
      <c r="Q240" s="18"/>
      <c r="R240" s="240">
        <f t="shared" si="23"/>
        <v>3.1455868096544864E-3</v>
      </c>
      <c r="S240" s="223">
        <f t="shared" si="25"/>
        <v>350572.25999999995</v>
      </c>
      <c r="T240" s="157"/>
      <c r="U240" s="157"/>
      <c r="V240" s="246">
        <f t="shared" si="24"/>
        <v>9063006.3690056987</v>
      </c>
    </row>
    <row r="241" spans="1:22" s="19" customFormat="1" ht="18.75" customHeight="1" x14ac:dyDescent="0.2">
      <c r="A241" s="16"/>
      <c r="B241" s="16"/>
      <c r="C241" s="20" t="s">
        <v>456</v>
      </c>
      <c r="D241" s="19" t="s">
        <v>214</v>
      </c>
      <c r="E241" s="16" t="s">
        <v>4</v>
      </c>
      <c r="F241" s="221">
        <v>19</v>
      </c>
      <c r="G241" s="221">
        <v>0</v>
      </c>
      <c r="I241" s="220" t="s">
        <v>375</v>
      </c>
      <c r="K241" s="247">
        <v>7165.25</v>
      </c>
      <c r="L241" s="217">
        <f t="shared" si="26"/>
        <v>136139.75</v>
      </c>
      <c r="M241" s="217">
        <v>2915.81</v>
      </c>
      <c r="N241" s="117">
        <f t="shared" si="22"/>
        <v>136139.75</v>
      </c>
      <c r="P241" s="17">
        <f t="shared" si="21"/>
        <v>3456947.2362519223</v>
      </c>
      <c r="Q241" s="18"/>
      <c r="R241" s="240">
        <f t="shared" si="23"/>
        <v>1.2477066364153229E-3</v>
      </c>
      <c r="S241" s="223">
        <f t="shared" si="25"/>
        <v>139055.56</v>
      </c>
      <c r="T241" s="157"/>
      <c r="U241" s="157"/>
      <c r="V241" s="246">
        <f t="shared" si="24"/>
        <v>3593086.9862519223</v>
      </c>
    </row>
    <row r="242" spans="1:22" s="19" customFormat="1" ht="18.75" customHeight="1" x14ac:dyDescent="0.2">
      <c r="A242" s="16"/>
      <c r="B242" s="16"/>
      <c r="C242" s="20" t="s">
        <v>456</v>
      </c>
      <c r="D242" s="19" t="s">
        <v>214</v>
      </c>
      <c r="E242" s="16" t="s">
        <v>4</v>
      </c>
      <c r="F242" s="221">
        <v>3</v>
      </c>
      <c r="G242" s="221">
        <v>0</v>
      </c>
      <c r="I242" s="220" t="s">
        <v>376</v>
      </c>
      <c r="K242" s="247">
        <v>9601.15</v>
      </c>
      <c r="L242" s="217">
        <f t="shared" si="26"/>
        <v>28803.449999999997</v>
      </c>
      <c r="M242" s="217">
        <v>2919.71</v>
      </c>
      <c r="N242" s="117">
        <f t="shared" si="22"/>
        <v>28803.449999999997</v>
      </c>
      <c r="P242" s="17">
        <f t="shared" si="21"/>
        <v>788643.69240019971</v>
      </c>
      <c r="Q242" s="18"/>
      <c r="R242" s="240">
        <f t="shared" si="23"/>
        <v>2.8464303951647175E-4</v>
      </c>
      <c r="S242" s="223">
        <f t="shared" si="25"/>
        <v>31723.159999999996</v>
      </c>
      <c r="T242" s="157"/>
      <c r="U242" s="157"/>
      <c r="V242" s="246">
        <f t="shared" si="24"/>
        <v>817447.14240019966</v>
      </c>
    </row>
    <row r="243" spans="1:22" s="19" customFormat="1" ht="18.75" customHeight="1" x14ac:dyDescent="0.2">
      <c r="A243" s="16"/>
      <c r="B243" s="16"/>
      <c r="C243" s="20" t="s">
        <v>456</v>
      </c>
      <c r="D243" s="19" t="s">
        <v>214</v>
      </c>
      <c r="E243" s="16" t="s">
        <v>4</v>
      </c>
      <c r="F243" s="221">
        <v>3</v>
      </c>
      <c r="G243" s="221">
        <v>0</v>
      </c>
      <c r="I243" s="220" t="s">
        <v>377</v>
      </c>
      <c r="K243" s="247">
        <v>12673.5</v>
      </c>
      <c r="L243" s="217">
        <f t="shared" si="26"/>
        <v>38020.5</v>
      </c>
      <c r="M243" s="217">
        <v>3068.06</v>
      </c>
      <c r="N243" s="117">
        <f t="shared" si="22"/>
        <v>38020.5</v>
      </c>
      <c r="P243" s="17">
        <f t="shared" si="21"/>
        <v>1021469.2884885097</v>
      </c>
      <c r="Q243" s="18"/>
      <c r="R243" s="240">
        <f t="shared" si="23"/>
        <v>3.6867615356587813E-4</v>
      </c>
      <c r="S243" s="223">
        <f t="shared" si="25"/>
        <v>41088.559999999998</v>
      </c>
      <c r="T243" s="157"/>
      <c r="U243" s="157"/>
      <c r="V243" s="246">
        <f t="shared" si="24"/>
        <v>1059489.7884885096</v>
      </c>
    </row>
    <row r="244" spans="1:22" s="19" customFormat="1" ht="18.75" customHeight="1" x14ac:dyDescent="0.2">
      <c r="A244" s="16"/>
      <c r="B244" s="16"/>
      <c r="C244" s="20" t="s">
        <v>456</v>
      </c>
      <c r="D244" s="19" t="s">
        <v>214</v>
      </c>
      <c r="E244" s="16" t="s">
        <v>4</v>
      </c>
      <c r="F244" s="221">
        <v>1</v>
      </c>
      <c r="G244" s="221">
        <v>0</v>
      </c>
      <c r="I244" s="220" t="s">
        <v>378</v>
      </c>
      <c r="K244" s="247">
        <v>16222.25</v>
      </c>
      <c r="L244" s="217">
        <f t="shared" si="26"/>
        <v>16222.25</v>
      </c>
      <c r="M244" s="217">
        <v>3073.71</v>
      </c>
      <c r="N244" s="117">
        <f t="shared" si="22"/>
        <v>16222.25</v>
      </c>
      <c r="P244" s="17">
        <f t="shared" si="21"/>
        <v>479701.17550731258</v>
      </c>
      <c r="Q244" s="18"/>
      <c r="R244" s="240">
        <f t="shared" si="23"/>
        <v>1.7313725066444387E-4</v>
      </c>
      <c r="S244" s="223">
        <f t="shared" si="25"/>
        <v>19295.96</v>
      </c>
      <c r="T244" s="157"/>
      <c r="U244" s="157"/>
      <c r="V244" s="246">
        <f t="shared" si="24"/>
        <v>495923.42550731258</v>
      </c>
    </row>
    <row r="245" spans="1:22" s="19" customFormat="1" ht="18.75" customHeight="1" x14ac:dyDescent="0.2">
      <c r="A245" s="16"/>
      <c r="B245" s="16"/>
      <c r="C245" s="20" t="s">
        <v>456</v>
      </c>
      <c r="D245" s="19" t="s">
        <v>214</v>
      </c>
      <c r="E245" s="16" t="s">
        <v>4</v>
      </c>
      <c r="F245" s="221">
        <v>1</v>
      </c>
      <c r="G245" s="221">
        <v>0</v>
      </c>
      <c r="I245" s="220" t="s">
        <v>379</v>
      </c>
      <c r="K245" s="247">
        <v>20764.349999999999</v>
      </c>
      <c r="L245" s="217">
        <f t="shared" si="26"/>
        <v>20764.349999999999</v>
      </c>
      <c r="M245" s="217">
        <v>3081.01</v>
      </c>
      <c r="N245" s="117">
        <f t="shared" si="22"/>
        <v>20764.349999999999</v>
      </c>
      <c r="P245" s="17">
        <f t="shared" si="21"/>
        <v>592800.1106135716</v>
      </c>
      <c r="Q245" s="18"/>
      <c r="R245" s="240">
        <f t="shared" si="23"/>
        <v>2.1395774408238322E-4</v>
      </c>
      <c r="S245" s="223">
        <f t="shared" si="25"/>
        <v>23845.360000000001</v>
      </c>
      <c r="T245" s="157"/>
      <c r="U245" s="157"/>
      <c r="V245" s="246">
        <f t="shared" si="24"/>
        <v>613564.46061357157</v>
      </c>
    </row>
    <row r="246" spans="1:22" s="19" customFormat="1" ht="18.75" customHeight="1" x14ac:dyDescent="0.2">
      <c r="A246" s="16"/>
      <c r="B246" s="16"/>
      <c r="C246" s="20" t="s">
        <v>457</v>
      </c>
      <c r="D246" s="19" t="s">
        <v>215</v>
      </c>
      <c r="E246" s="16" t="s">
        <v>4</v>
      </c>
      <c r="F246" s="221">
        <v>57</v>
      </c>
      <c r="G246" s="221">
        <v>0</v>
      </c>
      <c r="I246" s="220" t="s">
        <v>374</v>
      </c>
      <c r="K246" s="247">
        <v>5268.4</v>
      </c>
      <c r="L246" s="217">
        <f t="shared" si="26"/>
        <v>300298.8</v>
      </c>
      <c r="M246" s="217">
        <v>2857.86</v>
      </c>
      <c r="N246" s="117">
        <f t="shared" si="22"/>
        <v>300298.8</v>
      </c>
      <c r="P246" s="17">
        <f t="shared" si="21"/>
        <v>7536531.2824482778</v>
      </c>
      <c r="Q246" s="18"/>
      <c r="R246" s="240">
        <f t="shared" si="23"/>
        <v>2.7201398962796138E-3</v>
      </c>
      <c r="S246" s="223">
        <f t="shared" si="25"/>
        <v>303156.65999999997</v>
      </c>
      <c r="T246" s="157"/>
      <c r="U246" s="157"/>
      <c r="V246" s="246">
        <f t="shared" si="24"/>
        <v>7836830.0824482776</v>
      </c>
    </row>
    <row r="247" spans="1:22" s="19" customFormat="1" ht="18.75" customHeight="1" x14ac:dyDescent="0.2">
      <c r="A247" s="16"/>
      <c r="B247" s="16"/>
      <c r="C247" s="20" t="s">
        <v>457</v>
      </c>
      <c r="D247" s="19" t="s">
        <v>215</v>
      </c>
      <c r="E247" s="16" t="s">
        <v>4</v>
      </c>
      <c r="F247" s="221">
        <v>12</v>
      </c>
      <c r="G247" s="221">
        <v>0</v>
      </c>
      <c r="I247" s="220" t="s">
        <v>375</v>
      </c>
      <c r="K247" s="247">
        <v>7165.25</v>
      </c>
      <c r="L247" s="217">
        <f t="shared" si="26"/>
        <v>85983</v>
      </c>
      <c r="M247" s="217">
        <v>2915.81</v>
      </c>
      <c r="N247" s="117">
        <f t="shared" si="22"/>
        <v>85983</v>
      </c>
      <c r="P247" s="17">
        <f t="shared" si="21"/>
        <v>2210041.0478774435</v>
      </c>
      <c r="Q247" s="18"/>
      <c r="R247" s="240">
        <f t="shared" si="23"/>
        <v>7.9766415097983043E-4</v>
      </c>
      <c r="S247" s="223">
        <f t="shared" si="25"/>
        <v>88898.81</v>
      </c>
      <c r="T247" s="157"/>
      <c r="U247" s="157"/>
      <c r="V247" s="246">
        <f t="shared" si="24"/>
        <v>2296024.0478774435</v>
      </c>
    </row>
    <row r="248" spans="1:22" s="19" customFormat="1" ht="18.75" customHeight="1" x14ac:dyDescent="0.2">
      <c r="A248" s="16"/>
      <c r="B248" s="16"/>
      <c r="C248" s="20" t="s">
        <v>457</v>
      </c>
      <c r="D248" s="19" t="s">
        <v>215</v>
      </c>
      <c r="E248" s="16" t="s">
        <v>4</v>
      </c>
      <c r="F248" s="221">
        <v>2</v>
      </c>
      <c r="G248" s="221">
        <v>0</v>
      </c>
      <c r="I248" s="220" t="s">
        <v>376</v>
      </c>
      <c r="K248" s="247">
        <v>9601.15</v>
      </c>
      <c r="L248" s="217">
        <f t="shared" si="26"/>
        <v>19202.3</v>
      </c>
      <c r="M248" s="217">
        <v>2919.71</v>
      </c>
      <c r="N248" s="117">
        <f t="shared" si="22"/>
        <v>19202.3</v>
      </c>
      <c r="P248" s="17">
        <f t="shared" si="21"/>
        <v>549957.3072075462</v>
      </c>
      <c r="Q248" s="18"/>
      <c r="R248" s="240">
        <f t="shared" si="23"/>
        <v>1.9849460667265757E-4</v>
      </c>
      <c r="S248" s="223">
        <f t="shared" si="25"/>
        <v>22122.01</v>
      </c>
      <c r="T248" s="157"/>
      <c r="U248" s="157"/>
      <c r="V248" s="246">
        <f t="shared" si="24"/>
        <v>569159.60720754624</v>
      </c>
    </row>
    <row r="249" spans="1:22" s="19" customFormat="1" ht="18.75" customHeight="1" x14ac:dyDescent="0.2">
      <c r="A249" s="16"/>
      <c r="B249" s="16"/>
      <c r="C249" s="20" t="s">
        <v>457</v>
      </c>
      <c r="D249" s="19" t="s">
        <v>215</v>
      </c>
      <c r="E249" s="16" t="s">
        <v>4</v>
      </c>
      <c r="F249" s="221">
        <v>3</v>
      </c>
      <c r="G249" s="221">
        <v>0</v>
      </c>
      <c r="I249" s="220" t="s">
        <v>377</v>
      </c>
      <c r="K249" s="247">
        <v>12673.5</v>
      </c>
      <c r="L249" s="217">
        <f t="shared" si="26"/>
        <v>38020.5</v>
      </c>
      <c r="M249" s="217">
        <v>3068.06</v>
      </c>
      <c r="N249" s="117">
        <f t="shared" si="22"/>
        <v>38020.5</v>
      </c>
      <c r="P249" s="17">
        <f t="shared" si="21"/>
        <v>1021469.2884885097</v>
      </c>
      <c r="Q249" s="18"/>
      <c r="R249" s="240">
        <f t="shared" si="23"/>
        <v>3.6867615356587813E-4</v>
      </c>
      <c r="S249" s="223">
        <f t="shared" si="25"/>
        <v>41088.559999999998</v>
      </c>
      <c r="T249" s="157"/>
      <c r="U249" s="157"/>
      <c r="V249" s="246">
        <f t="shared" si="24"/>
        <v>1059489.7884885096</v>
      </c>
    </row>
    <row r="250" spans="1:22" s="19" customFormat="1" ht="18.75" customHeight="1" x14ac:dyDescent="0.2">
      <c r="A250" s="16"/>
      <c r="B250" s="16"/>
      <c r="C250" s="20" t="s">
        <v>457</v>
      </c>
      <c r="D250" s="19" t="s">
        <v>215</v>
      </c>
      <c r="E250" s="16" t="s">
        <v>4</v>
      </c>
      <c r="F250" s="221">
        <v>1</v>
      </c>
      <c r="G250" s="221">
        <v>0</v>
      </c>
      <c r="I250" s="220" t="s">
        <v>378</v>
      </c>
      <c r="K250" s="247">
        <v>16222.25</v>
      </c>
      <c r="L250" s="217">
        <f t="shared" si="26"/>
        <v>16222.25</v>
      </c>
      <c r="M250" s="217">
        <v>3073.71</v>
      </c>
      <c r="N250" s="117">
        <f t="shared" si="22"/>
        <v>16222.25</v>
      </c>
      <c r="P250" s="17">
        <f t="shared" si="21"/>
        <v>479701.17550731258</v>
      </c>
      <c r="Q250" s="18"/>
      <c r="R250" s="240">
        <f t="shared" si="23"/>
        <v>1.7313725066444387E-4</v>
      </c>
      <c r="S250" s="223">
        <f t="shared" si="25"/>
        <v>19295.96</v>
      </c>
      <c r="T250" s="157"/>
      <c r="U250" s="157"/>
      <c r="V250" s="246">
        <f t="shared" si="24"/>
        <v>495923.42550731258</v>
      </c>
    </row>
    <row r="251" spans="1:22" s="19" customFormat="1" ht="18.75" customHeight="1" x14ac:dyDescent="0.2">
      <c r="A251" s="16"/>
      <c r="B251" s="16"/>
      <c r="C251" s="20" t="s">
        <v>458</v>
      </c>
      <c r="D251" s="19" t="s">
        <v>216</v>
      </c>
      <c r="E251" s="16" t="s">
        <v>4</v>
      </c>
      <c r="F251" s="221">
        <v>4</v>
      </c>
      <c r="G251" s="221">
        <v>0</v>
      </c>
      <c r="I251" s="220" t="s">
        <v>374</v>
      </c>
      <c r="K251" s="247">
        <v>5089.55</v>
      </c>
      <c r="L251" s="217">
        <f t="shared" si="26"/>
        <v>20358.2</v>
      </c>
      <c r="M251" s="217">
        <v>2788.02</v>
      </c>
      <c r="N251" s="117">
        <f t="shared" si="22"/>
        <v>20358.2</v>
      </c>
      <c r="P251" s="17">
        <f t="shared" si="21"/>
        <v>575419.35941776773</v>
      </c>
      <c r="Q251" s="18"/>
      <c r="R251" s="240">
        <f t="shared" si="23"/>
        <v>2.0768455646023127E-4</v>
      </c>
      <c r="S251" s="223">
        <f t="shared" si="25"/>
        <v>23146.22</v>
      </c>
      <c r="T251" s="157"/>
      <c r="U251" s="157"/>
      <c r="V251" s="246">
        <f t="shared" si="24"/>
        <v>595777.55941776768</v>
      </c>
    </row>
    <row r="252" spans="1:22" s="19" customFormat="1" ht="18.75" customHeight="1" x14ac:dyDescent="0.2">
      <c r="A252" s="16"/>
      <c r="B252" s="16"/>
      <c r="C252" s="20" t="s">
        <v>459</v>
      </c>
      <c r="D252" s="19" t="s">
        <v>460</v>
      </c>
      <c r="E252" s="16" t="s">
        <v>4</v>
      </c>
      <c r="F252" s="221">
        <v>1</v>
      </c>
      <c r="G252" s="221">
        <v>0</v>
      </c>
      <c r="I252" s="220" t="s">
        <v>374</v>
      </c>
      <c r="K252" s="247">
        <v>6954.2</v>
      </c>
      <c r="L252" s="217">
        <f t="shared" si="26"/>
        <v>6954.2</v>
      </c>
      <c r="M252" s="217">
        <v>2926.62</v>
      </c>
      <c r="N252" s="117">
        <f t="shared" si="22"/>
        <v>6954.2</v>
      </c>
      <c r="P252" s="17">
        <f t="shared" si="21"/>
        <v>245639.03371359417</v>
      </c>
      <c r="Q252" s="18"/>
      <c r="R252" s="240">
        <f t="shared" si="23"/>
        <v>8.8657833510758218E-5</v>
      </c>
      <c r="S252" s="223">
        <f t="shared" si="25"/>
        <v>9880.82</v>
      </c>
      <c r="T252" s="157"/>
      <c r="U252" s="157"/>
      <c r="V252" s="246">
        <f t="shared" si="24"/>
        <v>252593.23371359418</v>
      </c>
    </row>
    <row r="253" spans="1:22" s="19" customFormat="1" ht="18.75" customHeight="1" x14ac:dyDescent="0.2">
      <c r="A253" s="16"/>
      <c r="B253" s="16"/>
      <c r="C253" s="20" t="s">
        <v>461</v>
      </c>
      <c r="D253" s="19" t="s">
        <v>217</v>
      </c>
      <c r="E253" s="16" t="s">
        <v>4</v>
      </c>
      <c r="F253" s="221">
        <v>1</v>
      </c>
      <c r="G253" s="221">
        <v>0</v>
      </c>
      <c r="I253" s="220" t="s">
        <v>375</v>
      </c>
      <c r="K253" s="247">
        <v>9037.9500000000007</v>
      </c>
      <c r="L253" s="217">
        <f t="shared" si="26"/>
        <v>9037.9500000000007</v>
      </c>
      <c r="M253" s="217">
        <v>3027.6</v>
      </c>
      <c r="N253" s="117">
        <f t="shared" si="22"/>
        <v>9037.9500000000007</v>
      </c>
      <c r="P253" s="17">
        <f t="shared" si="21"/>
        <v>299951.83023504692</v>
      </c>
      <c r="Q253" s="18"/>
      <c r="R253" s="240">
        <f t="shared" si="23"/>
        <v>1.0826080458056406E-4</v>
      </c>
      <c r="S253" s="223">
        <f t="shared" si="25"/>
        <v>12065.550000000001</v>
      </c>
      <c r="T253" s="157"/>
      <c r="U253" s="157"/>
      <c r="V253" s="246">
        <f t="shared" si="24"/>
        <v>308989.78023504693</v>
      </c>
    </row>
    <row r="254" spans="1:22" s="19" customFormat="1" ht="18.75" customHeight="1" x14ac:dyDescent="0.2">
      <c r="A254" s="16"/>
      <c r="B254" s="16"/>
      <c r="C254" s="20" t="s">
        <v>462</v>
      </c>
      <c r="D254" s="19" t="s">
        <v>218</v>
      </c>
      <c r="E254" s="16" t="s">
        <v>4</v>
      </c>
      <c r="F254" s="221">
        <v>2</v>
      </c>
      <c r="G254" s="221">
        <v>0</v>
      </c>
      <c r="I254" s="220" t="s">
        <v>375</v>
      </c>
      <c r="K254" s="247">
        <v>3937.65</v>
      </c>
      <c r="L254" s="217">
        <f t="shared" si="26"/>
        <v>7875.3</v>
      </c>
      <c r="M254" s="217">
        <v>6073.41</v>
      </c>
      <c r="N254" s="117">
        <f t="shared" si="22"/>
        <v>7875.3</v>
      </c>
      <c r="P254" s="17">
        <f t="shared" si="21"/>
        <v>346767.54013848526</v>
      </c>
      <c r="Q254" s="18"/>
      <c r="R254" s="240">
        <f t="shared" si="23"/>
        <v>1.2515787241037163E-4</v>
      </c>
      <c r="S254" s="223">
        <f t="shared" si="25"/>
        <v>13948.71</v>
      </c>
      <c r="T254" s="157"/>
      <c r="U254" s="157"/>
      <c r="V254" s="246">
        <f t="shared" si="24"/>
        <v>354642.84013848525</v>
      </c>
    </row>
    <row r="255" spans="1:22" s="19" customFormat="1" ht="18.75" customHeight="1" x14ac:dyDescent="0.2">
      <c r="A255" s="16"/>
      <c r="B255" s="16"/>
      <c r="C255" s="20" t="s">
        <v>462</v>
      </c>
      <c r="D255" s="19" t="s">
        <v>218</v>
      </c>
      <c r="E255" s="16" t="s">
        <v>4</v>
      </c>
      <c r="F255" s="221">
        <v>1</v>
      </c>
      <c r="G255" s="221">
        <v>0</v>
      </c>
      <c r="I255" s="220" t="s">
        <v>377</v>
      </c>
      <c r="K255" s="247">
        <v>6118.1</v>
      </c>
      <c r="L255" s="217">
        <f t="shared" si="26"/>
        <v>6118.1</v>
      </c>
      <c r="M255" s="217">
        <v>6073.41</v>
      </c>
      <c r="N255" s="117">
        <f t="shared" si="22"/>
        <v>6118.1</v>
      </c>
      <c r="P255" s="17">
        <f t="shared" si="21"/>
        <v>303083.21939976851</v>
      </c>
      <c r="Q255" s="18"/>
      <c r="R255" s="240">
        <f t="shared" si="23"/>
        <v>1.0939100842083391E-4</v>
      </c>
      <c r="S255" s="223">
        <f t="shared" si="25"/>
        <v>12191.51</v>
      </c>
      <c r="T255" s="157"/>
      <c r="U255" s="157"/>
      <c r="V255" s="246">
        <f t="shared" si="24"/>
        <v>309201.31939976849</v>
      </c>
    </row>
    <row r="256" spans="1:22" s="19" customFormat="1" ht="18.75" customHeight="1" x14ac:dyDescent="0.2">
      <c r="A256" s="16"/>
      <c r="B256" s="16"/>
      <c r="C256" s="20" t="s">
        <v>463</v>
      </c>
      <c r="D256" s="19" t="s">
        <v>219</v>
      </c>
      <c r="E256" s="16" t="s">
        <v>4</v>
      </c>
      <c r="F256" s="221">
        <v>1</v>
      </c>
      <c r="G256" s="221">
        <v>0</v>
      </c>
      <c r="I256" s="220" t="s">
        <v>374</v>
      </c>
      <c r="K256" s="247">
        <v>3032.3</v>
      </c>
      <c r="L256" s="217">
        <f t="shared" si="26"/>
        <v>3032.3</v>
      </c>
      <c r="M256" s="217">
        <v>2700.16</v>
      </c>
      <c r="N256" s="117">
        <f t="shared" si="22"/>
        <v>3032.3</v>
      </c>
      <c r="P256" s="17">
        <f t="shared" si="21"/>
        <v>142510.02803429574</v>
      </c>
      <c r="Q256" s="18"/>
      <c r="R256" s="240">
        <f t="shared" si="23"/>
        <v>5.143575981417343E-5</v>
      </c>
      <c r="S256" s="223">
        <f t="shared" si="25"/>
        <v>5732.46</v>
      </c>
      <c r="T256" s="157"/>
      <c r="U256" s="157"/>
      <c r="V256" s="246">
        <f t="shared" si="24"/>
        <v>145542.32803429573</v>
      </c>
    </row>
    <row r="257" spans="1:22" s="19" customFormat="1" ht="18.75" customHeight="1" x14ac:dyDescent="0.2">
      <c r="A257" s="16"/>
      <c r="B257" s="16"/>
      <c r="C257" s="20" t="s">
        <v>463</v>
      </c>
      <c r="D257" s="19" t="s">
        <v>219</v>
      </c>
      <c r="E257" s="16" t="s">
        <v>4</v>
      </c>
      <c r="F257" s="221">
        <v>1</v>
      </c>
      <c r="G257" s="221">
        <v>0</v>
      </c>
      <c r="I257" s="220" t="s">
        <v>377</v>
      </c>
      <c r="K257" s="247">
        <v>6087.35</v>
      </c>
      <c r="L257" s="217">
        <f t="shared" si="26"/>
        <v>6087.35</v>
      </c>
      <c r="M257" s="217">
        <v>2700.16</v>
      </c>
      <c r="N257" s="117">
        <f t="shared" si="22"/>
        <v>6087.35</v>
      </c>
      <c r="P257" s="17">
        <f t="shared" si="21"/>
        <v>218459.14257607629</v>
      </c>
      <c r="Q257" s="18"/>
      <c r="R257" s="240">
        <f t="shared" si="23"/>
        <v>7.8847868755237222E-5</v>
      </c>
      <c r="S257" s="223">
        <f t="shared" si="25"/>
        <v>8787.51</v>
      </c>
      <c r="T257" s="157"/>
      <c r="U257" s="157"/>
      <c r="V257" s="246">
        <f t="shared" si="24"/>
        <v>224546.4925760763</v>
      </c>
    </row>
    <row r="258" spans="1:22" s="19" customFormat="1" ht="18.75" customHeight="1" x14ac:dyDescent="0.2">
      <c r="A258" s="16"/>
      <c r="B258" s="16"/>
      <c r="C258" s="20" t="s">
        <v>464</v>
      </c>
      <c r="D258" s="19" t="s">
        <v>220</v>
      </c>
      <c r="E258" s="16" t="s">
        <v>4</v>
      </c>
      <c r="F258" s="221">
        <v>3</v>
      </c>
      <c r="G258" s="221">
        <v>0</v>
      </c>
      <c r="I258" s="220" t="s">
        <v>374</v>
      </c>
      <c r="K258" s="247">
        <v>5268.65</v>
      </c>
      <c r="L258" s="217">
        <f t="shared" si="26"/>
        <v>15805.949999999999</v>
      </c>
      <c r="M258" s="217">
        <v>6322.14</v>
      </c>
      <c r="N258" s="117">
        <f t="shared" si="22"/>
        <v>15805.949999999999</v>
      </c>
      <c r="P258" s="17">
        <f t="shared" si="21"/>
        <v>550108.45714499871</v>
      </c>
      <c r="Q258" s="18"/>
      <c r="R258" s="240">
        <f t="shared" si="23"/>
        <v>1.9854916081166077E-4</v>
      </c>
      <c r="S258" s="223">
        <f t="shared" si="25"/>
        <v>22128.09</v>
      </c>
      <c r="T258" s="157"/>
      <c r="U258" s="157"/>
      <c r="V258" s="246">
        <f t="shared" si="24"/>
        <v>565914.40714499867</v>
      </c>
    </row>
    <row r="259" spans="1:22" s="19" customFormat="1" ht="18.75" customHeight="1" x14ac:dyDescent="0.2">
      <c r="A259" s="16"/>
      <c r="B259" s="16"/>
      <c r="C259" s="20" t="s">
        <v>465</v>
      </c>
      <c r="D259" s="19" t="s">
        <v>221</v>
      </c>
      <c r="E259" s="16" t="s">
        <v>4</v>
      </c>
      <c r="F259" s="221">
        <v>26</v>
      </c>
      <c r="G259" s="221">
        <v>0</v>
      </c>
      <c r="I259" s="220" t="s">
        <v>374</v>
      </c>
      <c r="K259" s="247">
        <v>2579.1999999999998</v>
      </c>
      <c r="L259" s="217">
        <f t="shared" si="26"/>
        <v>67059.199999999997</v>
      </c>
      <c r="M259" s="217">
        <v>1732.42</v>
      </c>
      <c r="N259" s="117">
        <f t="shared" si="22"/>
        <v>67059.199999999997</v>
      </c>
      <c r="P259" s="17">
        <f t="shared" si="21"/>
        <v>1710172.5428044191</v>
      </c>
      <c r="Q259" s="18"/>
      <c r="R259" s="240">
        <f t="shared" si="23"/>
        <v>6.1724796048256579E-4</v>
      </c>
      <c r="S259" s="223">
        <f t="shared" si="25"/>
        <v>68791.62</v>
      </c>
      <c r="T259" s="157"/>
      <c r="U259" s="157"/>
      <c r="V259" s="246">
        <f t="shared" si="24"/>
        <v>1777231.742804419</v>
      </c>
    </row>
    <row r="260" spans="1:22" s="19" customFormat="1" ht="18.75" customHeight="1" x14ac:dyDescent="0.2">
      <c r="A260" s="16"/>
      <c r="B260" s="16"/>
      <c r="C260" s="20" t="s">
        <v>465</v>
      </c>
      <c r="D260" s="19" t="s">
        <v>221</v>
      </c>
      <c r="E260" s="16" t="s">
        <v>4</v>
      </c>
      <c r="F260" s="221">
        <v>10</v>
      </c>
      <c r="G260" s="221">
        <v>0</v>
      </c>
      <c r="I260" s="220" t="s">
        <v>375</v>
      </c>
      <c r="K260" s="247">
        <v>3507.9</v>
      </c>
      <c r="L260" s="217">
        <f t="shared" si="26"/>
        <v>35079</v>
      </c>
      <c r="M260" s="217">
        <v>1769.62</v>
      </c>
      <c r="N260" s="117">
        <f t="shared" si="22"/>
        <v>35079</v>
      </c>
      <c r="P260" s="17">
        <f t="shared" si="21"/>
        <v>916063.58687633427</v>
      </c>
      <c r="Q260" s="18"/>
      <c r="R260" s="240">
        <f t="shared" si="23"/>
        <v>3.3063235815055796E-4</v>
      </c>
      <c r="S260" s="223">
        <f t="shared" si="25"/>
        <v>36848.620000000003</v>
      </c>
      <c r="T260" s="157"/>
      <c r="U260" s="157"/>
      <c r="V260" s="246">
        <f t="shared" si="24"/>
        <v>951142.58687633427</v>
      </c>
    </row>
    <row r="261" spans="1:22" s="19" customFormat="1" ht="18.75" customHeight="1" x14ac:dyDescent="0.2">
      <c r="A261" s="16"/>
      <c r="B261" s="16"/>
      <c r="C261" s="20" t="s">
        <v>465</v>
      </c>
      <c r="D261" s="19" t="s">
        <v>221</v>
      </c>
      <c r="E261" s="16" t="s">
        <v>4</v>
      </c>
      <c r="F261" s="221">
        <v>5</v>
      </c>
      <c r="G261" s="221">
        <v>0</v>
      </c>
      <c r="I261" s="220" t="s">
        <v>376</v>
      </c>
      <c r="K261" s="247">
        <v>4700.75</v>
      </c>
      <c r="L261" s="217">
        <f t="shared" si="26"/>
        <v>23503.75</v>
      </c>
      <c r="M261" s="217">
        <v>1771.52</v>
      </c>
      <c r="N261" s="117">
        <f t="shared" si="22"/>
        <v>23503.75</v>
      </c>
      <c r="P261" s="17">
        <f t="shared" si="21"/>
        <v>628347.94072255096</v>
      </c>
      <c r="Q261" s="18"/>
      <c r="R261" s="240">
        <f t="shared" si="23"/>
        <v>2.2678792646758692E-4</v>
      </c>
      <c r="S261" s="223">
        <f t="shared" si="25"/>
        <v>25275.27</v>
      </c>
      <c r="T261" s="157"/>
      <c r="U261" s="157"/>
      <c r="V261" s="246">
        <f t="shared" si="24"/>
        <v>651851.69072255096</v>
      </c>
    </row>
    <row r="262" spans="1:22" s="19" customFormat="1" ht="18.75" customHeight="1" x14ac:dyDescent="0.2">
      <c r="A262" s="16"/>
      <c r="B262" s="16"/>
      <c r="C262" s="20" t="s">
        <v>465</v>
      </c>
      <c r="D262" s="19" t="s">
        <v>221</v>
      </c>
      <c r="E262" s="16" t="s">
        <v>4</v>
      </c>
      <c r="F262" s="221">
        <v>1</v>
      </c>
      <c r="G262" s="221">
        <v>0</v>
      </c>
      <c r="I262" s="220" t="s">
        <v>377</v>
      </c>
      <c r="K262" s="247">
        <v>6204.7</v>
      </c>
      <c r="L262" s="217">
        <f t="shared" si="26"/>
        <v>6204.7</v>
      </c>
      <c r="M262" s="217">
        <v>1773.92</v>
      </c>
      <c r="N262" s="117">
        <f t="shared" si="22"/>
        <v>6204.7</v>
      </c>
      <c r="P262" s="17">
        <f t="shared" si="21"/>
        <v>198349.98584813374</v>
      </c>
      <c r="Q262" s="18"/>
      <c r="R262" s="240">
        <f t="shared" si="23"/>
        <v>7.1589925087756461E-5</v>
      </c>
      <c r="S262" s="223">
        <f t="shared" si="25"/>
        <v>7978.62</v>
      </c>
      <c r="T262" s="157"/>
      <c r="U262" s="157"/>
      <c r="V262" s="246">
        <f t="shared" si="24"/>
        <v>204554.68584813375</v>
      </c>
    </row>
    <row r="263" spans="1:22" s="19" customFormat="1" ht="18.75" customHeight="1" x14ac:dyDescent="0.2">
      <c r="A263" s="16"/>
      <c r="B263" s="16"/>
      <c r="C263" s="20" t="s">
        <v>465</v>
      </c>
      <c r="D263" s="19" t="s">
        <v>221</v>
      </c>
      <c r="E263" s="16" t="s">
        <v>4</v>
      </c>
      <c r="F263" s="221">
        <v>1</v>
      </c>
      <c r="G263" s="221">
        <v>0</v>
      </c>
      <c r="I263" s="220" t="s">
        <v>378</v>
      </c>
      <c r="K263" s="247">
        <v>7942.05</v>
      </c>
      <c r="L263" s="217">
        <f t="shared" si="26"/>
        <v>7942.05</v>
      </c>
      <c r="M263" s="217">
        <v>1776.72</v>
      </c>
      <c r="N263" s="117">
        <f t="shared" si="22"/>
        <v>7942.05</v>
      </c>
      <c r="P263" s="17">
        <f t="shared" si="21"/>
        <v>241610.44039711964</v>
      </c>
      <c r="Q263" s="18"/>
      <c r="R263" s="240">
        <f t="shared" si="23"/>
        <v>8.7203804197359298E-5</v>
      </c>
      <c r="S263" s="223">
        <f t="shared" si="25"/>
        <v>9718.77</v>
      </c>
      <c r="T263" s="157"/>
      <c r="U263" s="157"/>
      <c r="V263" s="246">
        <f t="shared" si="24"/>
        <v>249552.49039711963</v>
      </c>
    </row>
    <row r="264" spans="1:22" s="19" customFormat="1" ht="18.75" customHeight="1" x14ac:dyDescent="0.2">
      <c r="A264" s="16"/>
      <c r="B264" s="16"/>
      <c r="C264" s="20" t="s">
        <v>466</v>
      </c>
      <c r="D264" s="19" t="s">
        <v>222</v>
      </c>
      <c r="E264" s="16" t="s">
        <v>4</v>
      </c>
      <c r="F264" s="221">
        <v>5</v>
      </c>
      <c r="G264" s="221">
        <v>0</v>
      </c>
      <c r="I264" s="220" t="s">
        <v>374</v>
      </c>
      <c r="K264" s="247">
        <v>3342.8</v>
      </c>
      <c r="L264" s="217">
        <f t="shared" si="26"/>
        <v>16714</v>
      </c>
      <c r="M264" s="217">
        <v>1976.67</v>
      </c>
      <c r="N264" s="117">
        <f t="shared" si="22"/>
        <v>16714</v>
      </c>
      <c r="P264" s="17">
        <f t="shared" si="21"/>
        <v>464653.55286905973</v>
      </c>
      <c r="Q264" s="18"/>
      <c r="R264" s="240">
        <f t="shared" si="23"/>
        <v>1.6770615283595119E-4</v>
      </c>
      <c r="S264" s="223">
        <f t="shared" si="25"/>
        <v>18690.669999999998</v>
      </c>
      <c r="T264" s="157"/>
      <c r="U264" s="157"/>
      <c r="V264" s="246">
        <f t="shared" si="24"/>
        <v>481367.55286905973</v>
      </c>
    </row>
    <row r="265" spans="1:22" s="19" customFormat="1" ht="18.75" customHeight="1" x14ac:dyDescent="0.2">
      <c r="A265" s="16"/>
      <c r="B265" s="16"/>
      <c r="C265" s="20" t="s">
        <v>467</v>
      </c>
      <c r="D265" s="19" t="s">
        <v>223</v>
      </c>
      <c r="E265" s="16" t="s">
        <v>4</v>
      </c>
      <c r="F265" s="221">
        <v>1</v>
      </c>
      <c r="G265" s="221">
        <v>0</v>
      </c>
      <c r="I265" s="220" t="s">
        <v>374</v>
      </c>
      <c r="K265" s="247">
        <v>2950.7</v>
      </c>
      <c r="L265" s="217">
        <f t="shared" si="26"/>
        <v>2950.7</v>
      </c>
      <c r="M265" s="217">
        <v>2155.63</v>
      </c>
      <c r="N265" s="117">
        <f t="shared" si="22"/>
        <v>2950.7</v>
      </c>
      <c r="P265" s="17">
        <f t="shared" si="21"/>
        <v>126944.31909727506</v>
      </c>
      <c r="Q265" s="18"/>
      <c r="R265" s="240">
        <f t="shared" si="23"/>
        <v>4.5817670496071179E-5</v>
      </c>
      <c r="S265" s="223">
        <f t="shared" si="25"/>
        <v>5106.33</v>
      </c>
      <c r="T265" s="157"/>
      <c r="U265" s="157"/>
      <c r="V265" s="246">
        <f t="shared" si="24"/>
        <v>129895.01909727506</v>
      </c>
    </row>
    <row r="266" spans="1:22" s="19" customFormat="1" ht="18.75" customHeight="1" x14ac:dyDescent="0.2">
      <c r="A266" s="16"/>
      <c r="B266" s="16"/>
      <c r="C266" s="20" t="s">
        <v>468</v>
      </c>
      <c r="D266" s="19" t="s">
        <v>224</v>
      </c>
      <c r="E266" s="16" t="s">
        <v>4</v>
      </c>
      <c r="F266" s="221">
        <v>2</v>
      </c>
      <c r="G266" s="221">
        <v>0</v>
      </c>
      <c r="I266" s="220" t="s">
        <v>374</v>
      </c>
      <c r="K266" s="247">
        <v>3828.5</v>
      </c>
      <c r="L266" s="217">
        <f t="shared" si="26"/>
        <v>7657</v>
      </c>
      <c r="M266" s="217">
        <v>2336.23</v>
      </c>
      <c r="N266" s="117">
        <f t="shared" si="22"/>
        <v>7657</v>
      </c>
      <c r="P266" s="17">
        <f t="shared" si="21"/>
        <v>248433.56734336831</v>
      </c>
      <c r="Q266" s="18"/>
      <c r="R266" s="240">
        <f t="shared" si="23"/>
        <v>8.966645699190091E-5</v>
      </c>
      <c r="S266" s="223">
        <f t="shared" si="25"/>
        <v>9993.23</v>
      </c>
      <c r="T266" s="157"/>
      <c r="U266" s="157"/>
      <c r="V266" s="246">
        <f t="shared" si="24"/>
        <v>256090.56734336831</v>
      </c>
    </row>
    <row r="267" spans="1:22" s="19" customFormat="1" ht="18.75" customHeight="1" x14ac:dyDescent="0.2">
      <c r="A267" s="16"/>
      <c r="B267" s="16"/>
      <c r="C267" s="20" t="s">
        <v>469</v>
      </c>
      <c r="D267" s="19" t="s">
        <v>225</v>
      </c>
      <c r="E267" s="16" t="s">
        <v>4</v>
      </c>
      <c r="F267" s="221">
        <v>1</v>
      </c>
      <c r="G267" s="221">
        <v>0</v>
      </c>
      <c r="I267" s="220" t="s">
        <v>374</v>
      </c>
      <c r="K267" s="247">
        <v>4045.1</v>
      </c>
      <c r="L267" s="217">
        <f t="shared" si="26"/>
        <v>4045.1</v>
      </c>
      <c r="M267" s="217">
        <v>2448.0300000000002</v>
      </c>
      <c r="N267" s="117">
        <f t="shared" si="22"/>
        <v>4045.1</v>
      </c>
      <c r="P267" s="17">
        <f t="shared" si="21"/>
        <v>161420.42654119289</v>
      </c>
      <c r="Q267" s="18"/>
      <c r="R267" s="240">
        <f t="shared" si="23"/>
        <v>5.8261038912125668E-5</v>
      </c>
      <c r="S267" s="223">
        <f t="shared" si="25"/>
        <v>6493.13</v>
      </c>
      <c r="T267" s="157"/>
      <c r="U267" s="157"/>
      <c r="V267" s="246">
        <f t="shared" si="24"/>
        <v>165465.5265411929</v>
      </c>
    </row>
    <row r="268" spans="1:22" s="19" customFormat="1" ht="18.75" customHeight="1" x14ac:dyDescent="0.2">
      <c r="A268" s="16"/>
      <c r="B268" s="16"/>
      <c r="C268" s="20" t="s">
        <v>470</v>
      </c>
      <c r="D268" s="19" t="s">
        <v>226</v>
      </c>
      <c r="E268" s="16" t="s">
        <v>4</v>
      </c>
      <c r="F268" s="221">
        <v>1</v>
      </c>
      <c r="G268" s="221">
        <v>0</v>
      </c>
      <c r="I268" s="220" t="s">
        <v>374</v>
      </c>
      <c r="K268" s="247">
        <v>7125.8</v>
      </c>
      <c r="L268" s="217">
        <f t="shared" si="26"/>
        <v>7125.8</v>
      </c>
      <c r="M268" s="217">
        <v>2946.14</v>
      </c>
      <c r="N268" s="117">
        <f t="shared" si="22"/>
        <v>7125.8</v>
      </c>
      <c r="P268" s="17">
        <f t="shared" si="21"/>
        <v>250390.3126685131</v>
      </c>
      <c r="Q268" s="18"/>
      <c r="R268" s="240">
        <f t="shared" si="23"/>
        <v>9.0372699801266111E-5</v>
      </c>
      <c r="S268" s="223">
        <f t="shared" si="25"/>
        <v>10071.94</v>
      </c>
      <c r="T268" s="157"/>
      <c r="U268" s="157"/>
      <c r="V268" s="246">
        <f t="shared" si="24"/>
        <v>257516.11266851309</v>
      </c>
    </row>
    <row r="269" spans="1:22" s="19" customFormat="1" ht="18.75" customHeight="1" x14ac:dyDescent="0.2">
      <c r="A269" s="16"/>
      <c r="B269" s="16"/>
      <c r="C269" s="20" t="s">
        <v>471</v>
      </c>
      <c r="D269" s="19" t="s">
        <v>227</v>
      </c>
      <c r="E269" s="16" t="s">
        <v>4</v>
      </c>
      <c r="F269" s="221">
        <v>211</v>
      </c>
      <c r="G269" s="221">
        <v>0</v>
      </c>
      <c r="I269" s="220" t="s">
        <v>374</v>
      </c>
      <c r="K269" s="247">
        <v>5360.15</v>
      </c>
      <c r="L269" s="217">
        <f t="shared" si="26"/>
        <v>1130991.6499999999</v>
      </c>
      <c r="M269" s="217">
        <v>2860.81</v>
      </c>
      <c r="N269" s="117">
        <f t="shared" si="22"/>
        <v>1130991.6499999999</v>
      </c>
      <c r="P269" s="17">
        <f t="shared" si="21"/>
        <v>28187784.277841482</v>
      </c>
      <c r="Q269" s="18"/>
      <c r="R269" s="240">
        <f t="shared" si="23"/>
        <v>1.0173740906568852E-2</v>
      </c>
      <c r="S269" s="223">
        <f t="shared" si="25"/>
        <v>1133852.46</v>
      </c>
      <c r="T269" s="157"/>
      <c r="U269" s="157"/>
      <c r="V269" s="246">
        <f t="shared" si="24"/>
        <v>29318775.927841481</v>
      </c>
    </row>
    <row r="270" spans="1:22" s="19" customFormat="1" ht="18.75" customHeight="1" x14ac:dyDescent="0.2">
      <c r="A270" s="16"/>
      <c r="B270" s="16"/>
      <c r="C270" s="20" t="s">
        <v>472</v>
      </c>
      <c r="D270" s="19" t="s">
        <v>228</v>
      </c>
      <c r="E270" s="16" t="s">
        <v>4</v>
      </c>
      <c r="F270" s="221">
        <v>68</v>
      </c>
      <c r="G270" s="221">
        <v>0</v>
      </c>
      <c r="I270" s="220" t="s">
        <v>374</v>
      </c>
      <c r="K270" s="247">
        <v>5371.75</v>
      </c>
      <c r="L270" s="217">
        <f t="shared" si="26"/>
        <v>365279</v>
      </c>
      <c r="M270" s="217">
        <v>2861.34</v>
      </c>
      <c r="N270" s="117">
        <f t="shared" si="22"/>
        <v>365279</v>
      </c>
      <c r="P270" s="17">
        <f t="shared" si="21"/>
        <v>9152037.7244595122</v>
      </c>
      <c r="Q270" s="18"/>
      <c r="R270" s="240">
        <f t="shared" si="23"/>
        <v>3.3032202764865597E-3</v>
      </c>
      <c r="S270" s="223">
        <f t="shared" si="25"/>
        <v>368140.34</v>
      </c>
      <c r="T270" s="157"/>
      <c r="U270" s="157"/>
      <c r="V270" s="246">
        <f t="shared" si="24"/>
        <v>9517316.7244595122</v>
      </c>
    </row>
    <row r="271" spans="1:22" s="19" customFormat="1" ht="18.75" customHeight="1" x14ac:dyDescent="0.2">
      <c r="A271" s="16"/>
      <c r="B271" s="16"/>
      <c r="C271" s="20" t="s">
        <v>473</v>
      </c>
      <c r="D271" s="19" t="s">
        <v>229</v>
      </c>
      <c r="E271" s="16" t="s">
        <v>4</v>
      </c>
      <c r="F271" s="221">
        <v>27</v>
      </c>
      <c r="G271" s="221">
        <v>0</v>
      </c>
      <c r="I271" s="220" t="s">
        <v>374</v>
      </c>
      <c r="K271" s="247">
        <v>5446.8</v>
      </c>
      <c r="L271" s="217">
        <f t="shared" si="26"/>
        <v>147063.6</v>
      </c>
      <c r="M271" s="217">
        <v>2864.88</v>
      </c>
      <c r="N271" s="117">
        <f t="shared" si="22"/>
        <v>147063.6</v>
      </c>
      <c r="P271" s="17">
        <f t="shared" si="21"/>
        <v>3727250.0615685675</v>
      </c>
      <c r="Q271" s="18"/>
      <c r="R271" s="240">
        <f t="shared" si="23"/>
        <v>1.3452663056670443E-3</v>
      </c>
      <c r="S271" s="223">
        <f t="shared" si="25"/>
        <v>149928.48000000001</v>
      </c>
      <c r="T271" s="157"/>
      <c r="U271" s="157"/>
      <c r="V271" s="246">
        <f t="shared" si="24"/>
        <v>3874313.6615685676</v>
      </c>
    </row>
    <row r="272" spans="1:22" s="19" customFormat="1" ht="18.75" customHeight="1" x14ac:dyDescent="0.2">
      <c r="A272" s="16"/>
      <c r="B272" s="16"/>
      <c r="C272" s="20" t="s">
        <v>474</v>
      </c>
      <c r="D272" s="19" t="s">
        <v>230</v>
      </c>
      <c r="E272" s="16" t="s">
        <v>4</v>
      </c>
      <c r="F272" s="221">
        <v>0</v>
      </c>
      <c r="G272" s="221">
        <v>1566</v>
      </c>
      <c r="I272" s="220" t="s">
        <v>374</v>
      </c>
      <c r="K272" s="247">
        <v>224.8</v>
      </c>
      <c r="L272" s="217">
        <f>+K272*G272</f>
        <v>352036.80000000005</v>
      </c>
      <c r="M272" s="217">
        <v>127.9</v>
      </c>
      <c r="N272" s="117">
        <f t="shared" si="22"/>
        <v>352036.80000000005</v>
      </c>
      <c r="P272" s="17">
        <f t="shared" ref="P272:P335" si="27">(+$U$11-$N$472)*R272</f>
        <v>8754880.3253209554</v>
      </c>
      <c r="Q272" s="18"/>
      <c r="R272" s="240">
        <f t="shared" si="23"/>
        <v>3.1598753282588007E-3</v>
      </c>
      <c r="S272" s="223">
        <f t="shared" si="25"/>
        <v>352164.70000000007</v>
      </c>
      <c r="T272" s="157"/>
      <c r="U272" s="157"/>
      <c r="V272" s="246">
        <f t="shared" si="24"/>
        <v>9106917.1253209561</v>
      </c>
    </row>
    <row r="273" spans="1:22" s="19" customFormat="1" ht="18.75" customHeight="1" x14ac:dyDescent="0.2">
      <c r="A273" s="16"/>
      <c r="B273" s="16"/>
      <c r="C273" s="20" t="s">
        <v>475</v>
      </c>
      <c r="D273" s="19" t="s">
        <v>231</v>
      </c>
      <c r="E273" s="16" t="s">
        <v>4</v>
      </c>
      <c r="F273" s="221">
        <v>3</v>
      </c>
      <c r="G273" s="221">
        <v>0</v>
      </c>
      <c r="I273" s="220" t="s">
        <v>374</v>
      </c>
      <c r="K273" s="247">
        <v>3206.5</v>
      </c>
      <c r="L273" s="217">
        <f t="shared" ref="L273:L336" si="28">+K273*F273</f>
        <v>9619.5</v>
      </c>
      <c r="M273" s="217">
        <v>2115.63</v>
      </c>
      <c r="N273" s="117">
        <f t="shared" ref="N273:N336" si="29">+L273</f>
        <v>9619.5</v>
      </c>
      <c r="P273" s="17">
        <f t="shared" si="27"/>
        <v>291737.52721974597</v>
      </c>
      <c r="Q273" s="18"/>
      <c r="R273" s="240">
        <f t="shared" ref="R273:R336" si="30">+S273/$S$472</f>
        <v>1.0529603836190763E-4</v>
      </c>
      <c r="S273" s="223">
        <f t="shared" si="25"/>
        <v>11735.130000000001</v>
      </c>
      <c r="T273" s="157"/>
      <c r="U273" s="157"/>
      <c r="V273" s="246">
        <f t="shared" ref="V273:V336" si="31">+N273+P273</f>
        <v>301357.02721974597</v>
      </c>
    </row>
    <row r="274" spans="1:22" s="19" customFormat="1" ht="18.75" customHeight="1" x14ac:dyDescent="0.2">
      <c r="A274" s="16"/>
      <c r="B274" s="16"/>
      <c r="C274" s="20" t="s">
        <v>476</v>
      </c>
      <c r="D274" s="19" t="s">
        <v>232</v>
      </c>
      <c r="E274" s="16" t="s">
        <v>4</v>
      </c>
      <c r="F274" s="221">
        <v>1</v>
      </c>
      <c r="G274" s="221">
        <v>0</v>
      </c>
      <c r="I274" s="220" t="s">
        <v>374</v>
      </c>
      <c r="K274" s="247">
        <v>4644.25</v>
      </c>
      <c r="L274" s="217">
        <f t="shared" si="28"/>
        <v>4644.25</v>
      </c>
      <c r="M274" s="217">
        <v>2821.96</v>
      </c>
      <c r="N274" s="117">
        <f t="shared" si="29"/>
        <v>4644.25</v>
      </c>
      <c r="P274" s="17">
        <f t="shared" si="27"/>
        <v>185611.37738596328</v>
      </c>
      <c r="Q274" s="18"/>
      <c r="R274" s="240">
        <f t="shared" si="30"/>
        <v>6.699221351429923E-5</v>
      </c>
      <c r="S274" s="223">
        <f t="shared" ref="S274:S337" si="32">+L274+M274</f>
        <v>7466.21</v>
      </c>
      <c r="T274" s="157"/>
      <c r="U274" s="157"/>
      <c r="V274" s="246">
        <f t="shared" si="31"/>
        <v>190255.62738596328</v>
      </c>
    </row>
    <row r="275" spans="1:22" s="19" customFormat="1" ht="18.75" customHeight="1" x14ac:dyDescent="0.2">
      <c r="A275" s="16"/>
      <c r="B275" s="16"/>
      <c r="C275" s="20" t="s">
        <v>477</v>
      </c>
      <c r="D275" s="19" t="s">
        <v>233</v>
      </c>
      <c r="E275" s="16" t="s">
        <v>4</v>
      </c>
      <c r="F275" s="221">
        <v>1</v>
      </c>
      <c r="G275" s="221">
        <v>0</v>
      </c>
      <c r="I275" s="220" t="s">
        <v>374</v>
      </c>
      <c r="K275" s="247">
        <v>3177.2</v>
      </c>
      <c r="L275" s="217">
        <f t="shared" si="28"/>
        <v>3177.2</v>
      </c>
      <c r="M275" s="217">
        <v>1916.17</v>
      </c>
      <c r="N275" s="117">
        <f t="shared" si="29"/>
        <v>3177.2</v>
      </c>
      <c r="P275" s="17">
        <f t="shared" si="27"/>
        <v>126622.13107270541</v>
      </c>
      <c r="Q275" s="18"/>
      <c r="R275" s="240">
        <f t="shared" si="30"/>
        <v>4.5701384041880188E-5</v>
      </c>
      <c r="S275" s="223">
        <f t="shared" si="32"/>
        <v>5093.37</v>
      </c>
      <c r="T275" s="157"/>
      <c r="U275" s="157"/>
      <c r="V275" s="246">
        <f t="shared" si="31"/>
        <v>129799.3310727054</v>
      </c>
    </row>
    <row r="276" spans="1:22" s="19" customFormat="1" ht="18.75" customHeight="1" x14ac:dyDescent="0.2">
      <c r="A276" s="16"/>
      <c r="B276" s="16"/>
      <c r="C276" s="20" t="s">
        <v>478</v>
      </c>
      <c r="D276" s="19" t="s">
        <v>234</v>
      </c>
      <c r="E276" s="16" t="s">
        <v>4</v>
      </c>
      <c r="F276" s="221">
        <v>1</v>
      </c>
      <c r="G276" s="221">
        <v>0</v>
      </c>
      <c r="I276" s="220" t="s">
        <v>376</v>
      </c>
      <c r="K276" s="247">
        <v>24230.2</v>
      </c>
      <c r="L276" s="217">
        <f t="shared" si="28"/>
        <v>24230.2</v>
      </c>
      <c r="M276" s="217">
        <v>10915.339999999998</v>
      </c>
      <c r="N276" s="117">
        <f t="shared" si="29"/>
        <v>24230.2</v>
      </c>
      <c r="P276" s="17">
        <f t="shared" si="27"/>
        <v>873724.69946244056</v>
      </c>
      <c r="Q276" s="18"/>
      <c r="R276" s="240">
        <f t="shared" si="30"/>
        <v>3.1535109777991032E-4</v>
      </c>
      <c r="S276" s="223">
        <f t="shared" si="32"/>
        <v>35145.54</v>
      </c>
      <c r="T276" s="157"/>
      <c r="U276" s="157"/>
      <c r="V276" s="246">
        <f t="shared" si="31"/>
        <v>897954.89946244052</v>
      </c>
    </row>
    <row r="277" spans="1:22" s="19" customFormat="1" ht="18.75" customHeight="1" x14ac:dyDescent="0.2">
      <c r="A277" s="16"/>
      <c r="B277" s="16"/>
      <c r="C277" s="20" t="s">
        <v>478</v>
      </c>
      <c r="D277" s="19" t="s">
        <v>234</v>
      </c>
      <c r="E277" s="16" t="s">
        <v>4</v>
      </c>
      <c r="F277" s="221">
        <v>1</v>
      </c>
      <c r="G277" s="221">
        <v>0</v>
      </c>
      <c r="I277" s="220" t="s">
        <v>378</v>
      </c>
      <c r="K277" s="247">
        <v>33653</v>
      </c>
      <c r="L277" s="217">
        <f t="shared" si="28"/>
        <v>33653</v>
      </c>
      <c r="M277" s="217">
        <v>10915.339999999998</v>
      </c>
      <c r="N277" s="117">
        <f t="shared" si="29"/>
        <v>33653</v>
      </c>
      <c r="P277" s="17">
        <f t="shared" si="27"/>
        <v>1107977.2702891992</v>
      </c>
      <c r="Q277" s="18"/>
      <c r="R277" s="240">
        <f t="shared" si="30"/>
        <v>3.9989924597056374E-4</v>
      </c>
      <c r="S277" s="223">
        <f t="shared" si="32"/>
        <v>44568.34</v>
      </c>
      <c r="T277" s="157"/>
      <c r="U277" s="157"/>
      <c r="V277" s="246">
        <f t="shared" si="31"/>
        <v>1141630.2702891992</v>
      </c>
    </row>
    <row r="278" spans="1:22" s="19" customFormat="1" ht="18.75" customHeight="1" x14ac:dyDescent="0.2">
      <c r="A278" s="16"/>
      <c r="B278" s="16"/>
      <c r="C278" s="20" t="s">
        <v>479</v>
      </c>
      <c r="D278" s="19" t="s">
        <v>235</v>
      </c>
      <c r="E278" s="16" t="s">
        <v>4</v>
      </c>
      <c r="F278" s="221">
        <v>1</v>
      </c>
      <c r="G278" s="221">
        <v>0</v>
      </c>
      <c r="I278" s="220" t="s">
        <v>374</v>
      </c>
      <c r="K278" s="247">
        <v>16131.8</v>
      </c>
      <c r="L278" s="217">
        <f t="shared" si="28"/>
        <v>16131.8</v>
      </c>
      <c r="M278" s="217">
        <v>10914.23</v>
      </c>
      <c r="N278" s="117">
        <f t="shared" si="29"/>
        <v>16131.8</v>
      </c>
      <c r="P278" s="17">
        <f t="shared" si="27"/>
        <v>672369.3655980858</v>
      </c>
      <c r="Q278" s="18"/>
      <c r="R278" s="240">
        <f t="shared" si="30"/>
        <v>2.4267646054345409E-4</v>
      </c>
      <c r="S278" s="223">
        <f t="shared" si="32"/>
        <v>27046.03</v>
      </c>
      <c r="T278" s="157"/>
      <c r="U278" s="157"/>
      <c r="V278" s="246">
        <f t="shared" si="31"/>
        <v>688501.16559808585</v>
      </c>
    </row>
    <row r="279" spans="1:22" s="19" customFormat="1" ht="18.75" customHeight="1" x14ac:dyDescent="0.2">
      <c r="A279" s="16"/>
      <c r="B279" s="16"/>
      <c r="C279" s="20" t="s">
        <v>479</v>
      </c>
      <c r="D279" s="19" t="s">
        <v>235</v>
      </c>
      <c r="E279" s="16" t="s">
        <v>4</v>
      </c>
      <c r="F279" s="221">
        <v>4</v>
      </c>
      <c r="G279" s="221">
        <v>0</v>
      </c>
      <c r="I279" s="220" t="s">
        <v>375</v>
      </c>
      <c r="K279" s="247">
        <v>19588.650000000001</v>
      </c>
      <c r="L279" s="217">
        <f t="shared" si="28"/>
        <v>78354.600000000006</v>
      </c>
      <c r="M279" s="217">
        <v>10914.23</v>
      </c>
      <c r="N279" s="117">
        <f t="shared" si="29"/>
        <v>78354.600000000006</v>
      </c>
      <c r="P279" s="17">
        <f t="shared" si="27"/>
        <v>2219239.8143011518</v>
      </c>
      <c r="Q279" s="18"/>
      <c r="R279" s="240">
        <f t="shared" si="30"/>
        <v>8.0098423691962598E-4</v>
      </c>
      <c r="S279" s="223">
        <f t="shared" si="32"/>
        <v>89268.83</v>
      </c>
      <c r="T279" s="157"/>
      <c r="U279" s="157"/>
      <c r="V279" s="246">
        <f t="shared" si="31"/>
        <v>2297594.4143011519</v>
      </c>
    </row>
    <row r="280" spans="1:22" s="19" customFormat="1" ht="18.75" customHeight="1" x14ac:dyDescent="0.2">
      <c r="A280" s="16"/>
      <c r="B280" s="16"/>
      <c r="C280" s="20" t="s">
        <v>479</v>
      </c>
      <c r="D280" s="19" t="s">
        <v>235</v>
      </c>
      <c r="E280" s="16"/>
      <c r="F280" s="221">
        <v>3</v>
      </c>
      <c r="G280" s="221">
        <v>0</v>
      </c>
      <c r="I280" s="220" t="s">
        <v>376</v>
      </c>
      <c r="K280" s="247">
        <v>23553</v>
      </c>
      <c r="L280" s="217">
        <f t="shared" si="28"/>
        <v>70659</v>
      </c>
      <c r="M280" s="217">
        <v>10914.23</v>
      </c>
      <c r="N280" s="117">
        <f t="shared" si="29"/>
        <v>70659</v>
      </c>
      <c r="P280" s="17">
        <f t="shared" si="27"/>
        <v>2027925.7586006799</v>
      </c>
      <c r="Q280" s="18"/>
      <c r="R280" s="240">
        <f t="shared" si="30"/>
        <v>7.3193377111158663E-4</v>
      </c>
      <c r="S280" s="223">
        <f t="shared" si="32"/>
        <v>81573.23</v>
      </c>
      <c r="T280" s="157"/>
      <c r="U280" s="157"/>
      <c r="V280" s="246">
        <f t="shared" si="31"/>
        <v>2098584.7586006802</v>
      </c>
    </row>
    <row r="281" spans="1:22" s="19" customFormat="1" ht="18.75" customHeight="1" x14ac:dyDescent="0.2">
      <c r="A281" s="16"/>
      <c r="B281" s="16"/>
      <c r="C281" s="20" t="s">
        <v>479</v>
      </c>
      <c r="D281" s="19" t="s">
        <v>235</v>
      </c>
      <c r="E281" s="16" t="s">
        <v>4</v>
      </c>
      <c r="F281" s="221">
        <v>1</v>
      </c>
      <c r="G281" s="221">
        <v>0</v>
      </c>
      <c r="I281" s="220" t="s">
        <v>377</v>
      </c>
      <c r="K281" s="247">
        <v>28039.35</v>
      </c>
      <c r="L281" s="217">
        <f t="shared" si="28"/>
        <v>28039.35</v>
      </c>
      <c r="M281" s="217">
        <v>10914.23</v>
      </c>
      <c r="N281" s="117">
        <f t="shared" si="29"/>
        <v>28039.35</v>
      </c>
      <c r="P281" s="17">
        <f t="shared" si="27"/>
        <v>968393.28627433639</v>
      </c>
      <c r="Q281" s="18"/>
      <c r="R281" s="240">
        <f t="shared" si="30"/>
        <v>3.4951957532755395E-4</v>
      </c>
      <c r="S281" s="223">
        <f t="shared" si="32"/>
        <v>38953.58</v>
      </c>
      <c r="T281" s="157"/>
      <c r="U281" s="157"/>
      <c r="V281" s="246">
        <f t="shared" si="31"/>
        <v>996432.63627433637</v>
      </c>
    </row>
    <row r="282" spans="1:22" s="19" customFormat="1" ht="18.75" customHeight="1" x14ac:dyDescent="0.2">
      <c r="A282" s="16"/>
      <c r="B282" s="16"/>
      <c r="C282" s="20" t="s">
        <v>480</v>
      </c>
      <c r="D282" s="19" t="s">
        <v>236</v>
      </c>
      <c r="E282" s="16" t="s">
        <v>4</v>
      </c>
      <c r="F282" s="221">
        <v>8</v>
      </c>
      <c r="G282" s="221">
        <v>0</v>
      </c>
      <c r="I282" s="220" t="s">
        <v>374</v>
      </c>
      <c r="K282" s="247">
        <v>14783.2</v>
      </c>
      <c r="L282" s="217">
        <f t="shared" si="28"/>
        <v>118265.60000000001</v>
      </c>
      <c r="M282" s="217">
        <v>7061.28</v>
      </c>
      <c r="N282" s="117">
        <f t="shared" si="29"/>
        <v>118265.60000000001</v>
      </c>
      <c r="P282" s="17">
        <f t="shared" si="27"/>
        <v>3115649.6830768674</v>
      </c>
      <c r="Q282" s="18"/>
      <c r="R282" s="240">
        <f t="shared" si="30"/>
        <v>1.1245230316373313E-3</v>
      </c>
      <c r="S282" s="223">
        <f t="shared" si="32"/>
        <v>125326.88</v>
      </c>
      <c r="T282" s="157"/>
      <c r="U282" s="157"/>
      <c r="V282" s="246">
        <f t="shared" si="31"/>
        <v>3233915.2830768675</v>
      </c>
    </row>
    <row r="283" spans="1:22" s="19" customFormat="1" ht="18.75" customHeight="1" x14ac:dyDescent="0.2">
      <c r="A283" s="16"/>
      <c r="B283" s="16"/>
      <c r="C283" s="20" t="s">
        <v>480</v>
      </c>
      <c r="D283" s="19" t="s">
        <v>236</v>
      </c>
      <c r="E283" s="16" t="s">
        <v>4</v>
      </c>
      <c r="F283" s="221">
        <v>15</v>
      </c>
      <c r="G283" s="221">
        <v>0</v>
      </c>
      <c r="I283" s="220" t="s">
        <v>375</v>
      </c>
      <c r="K283" s="247">
        <v>17951.05</v>
      </c>
      <c r="L283" s="217">
        <f t="shared" si="28"/>
        <v>269265.75</v>
      </c>
      <c r="M283" s="217">
        <v>7061.28</v>
      </c>
      <c r="N283" s="117">
        <f t="shared" si="29"/>
        <v>269265.75</v>
      </c>
      <c r="P283" s="17">
        <f t="shared" si="27"/>
        <v>6869541.6613345193</v>
      </c>
      <c r="Q283" s="18"/>
      <c r="R283" s="240">
        <f t="shared" si="30"/>
        <v>2.4794051323941023E-3</v>
      </c>
      <c r="S283" s="223">
        <f t="shared" si="32"/>
        <v>276327.03000000003</v>
      </c>
      <c r="T283" s="157"/>
      <c r="U283" s="157"/>
      <c r="V283" s="246">
        <f t="shared" si="31"/>
        <v>7138807.4113345193</v>
      </c>
    </row>
    <row r="284" spans="1:22" s="19" customFormat="1" ht="18.75" customHeight="1" x14ac:dyDescent="0.2">
      <c r="A284" s="16"/>
      <c r="B284" s="16"/>
      <c r="C284" s="20" t="s">
        <v>480</v>
      </c>
      <c r="D284" s="19" t="s">
        <v>236</v>
      </c>
      <c r="E284" s="16" t="s">
        <v>4</v>
      </c>
      <c r="F284" s="221">
        <v>6</v>
      </c>
      <c r="G284" s="221">
        <v>0</v>
      </c>
      <c r="I284" s="220" t="s">
        <v>376</v>
      </c>
      <c r="K284" s="247">
        <v>21584</v>
      </c>
      <c r="L284" s="217">
        <f t="shared" si="28"/>
        <v>129504</v>
      </c>
      <c r="M284" s="217">
        <v>7061.28</v>
      </c>
      <c r="N284" s="117">
        <f t="shared" si="29"/>
        <v>129504</v>
      </c>
      <c r="P284" s="17">
        <f t="shared" si="27"/>
        <v>3395038.4095678725</v>
      </c>
      <c r="Q284" s="18"/>
      <c r="R284" s="240">
        <f t="shared" si="30"/>
        <v>1.2253620506790003E-3</v>
      </c>
      <c r="S284" s="223">
        <f t="shared" si="32"/>
        <v>136565.28</v>
      </c>
      <c r="T284" s="157"/>
      <c r="U284" s="157"/>
      <c r="V284" s="246">
        <f t="shared" si="31"/>
        <v>3524542.4095678725</v>
      </c>
    </row>
    <row r="285" spans="1:22" s="19" customFormat="1" ht="18.75" customHeight="1" x14ac:dyDescent="0.2">
      <c r="A285" s="16"/>
      <c r="B285" s="16"/>
      <c r="C285" s="20" t="s">
        <v>480</v>
      </c>
      <c r="D285" s="19" t="s">
        <v>236</v>
      </c>
      <c r="E285" s="16" t="s">
        <v>4</v>
      </c>
      <c r="F285" s="221">
        <v>6</v>
      </c>
      <c r="G285" s="221">
        <v>0</v>
      </c>
      <c r="I285" s="220" t="s">
        <v>377</v>
      </c>
      <c r="K285" s="247">
        <v>25695.3</v>
      </c>
      <c r="L285" s="217">
        <f t="shared" si="28"/>
        <v>154171.79999999999</v>
      </c>
      <c r="M285" s="217">
        <v>7061.28</v>
      </c>
      <c r="N285" s="117">
        <f t="shared" si="29"/>
        <v>154171.79999999999</v>
      </c>
      <c r="P285" s="17">
        <f t="shared" si="27"/>
        <v>4008284.5324443337</v>
      </c>
      <c r="Q285" s="18"/>
      <c r="R285" s="240">
        <f t="shared" si="30"/>
        <v>1.4466993187879913E-3</v>
      </c>
      <c r="S285" s="223">
        <f t="shared" si="32"/>
        <v>161233.07999999999</v>
      </c>
      <c r="T285" s="157"/>
      <c r="U285" s="157"/>
      <c r="V285" s="246">
        <f t="shared" si="31"/>
        <v>4162456.3324443335</v>
      </c>
    </row>
    <row r="286" spans="1:22" s="19" customFormat="1" ht="18.75" customHeight="1" x14ac:dyDescent="0.2">
      <c r="A286" s="16"/>
      <c r="B286" s="16"/>
      <c r="C286" s="20" t="s">
        <v>480</v>
      </c>
      <c r="D286" s="19" t="s">
        <v>236</v>
      </c>
      <c r="E286" s="16" t="s">
        <v>4</v>
      </c>
      <c r="F286" s="221">
        <v>3</v>
      </c>
      <c r="G286" s="221">
        <v>0</v>
      </c>
      <c r="I286" s="220" t="s">
        <v>378</v>
      </c>
      <c r="K286" s="247">
        <v>29977.85</v>
      </c>
      <c r="L286" s="217">
        <f t="shared" si="28"/>
        <v>89933.549999999988</v>
      </c>
      <c r="M286" s="217">
        <v>7061.28</v>
      </c>
      <c r="N286" s="117">
        <f t="shared" si="29"/>
        <v>89933.549999999988</v>
      </c>
      <c r="P286" s="17">
        <f t="shared" si="27"/>
        <v>2411309.6196888853</v>
      </c>
      <c r="Q286" s="18"/>
      <c r="R286" s="240">
        <f t="shared" si="30"/>
        <v>8.7030747342268112E-4</v>
      </c>
      <c r="S286" s="223">
        <f t="shared" si="32"/>
        <v>96994.829999999987</v>
      </c>
      <c r="T286" s="157"/>
      <c r="U286" s="157"/>
      <c r="V286" s="246">
        <f t="shared" si="31"/>
        <v>2501243.1696888851</v>
      </c>
    </row>
    <row r="287" spans="1:22" s="19" customFormat="1" ht="18.75" customHeight="1" x14ac:dyDescent="0.2">
      <c r="A287" s="16"/>
      <c r="B287" s="16"/>
      <c r="C287" s="20" t="s">
        <v>480</v>
      </c>
      <c r="D287" s="19" t="s">
        <v>236</v>
      </c>
      <c r="E287" s="16" t="s">
        <v>4</v>
      </c>
      <c r="F287" s="221">
        <v>1</v>
      </c>
      <c r="G287" s="221">
        <v>0</v>
      </c>
      <c r="I287" s="220" t="s">
        <v>379</v>
      </c>
      <c r="K287" s="247">
        <v>34974.15</v>
      </c>
      <c r="L287" s="217">
        <f t="shared" si="28"/>
        <v>34974.15</v>
      </c>
      <c r="M287" s="217">
        <v>7061.28</v>
      </c>
      <c r="N287" s="117">
        <f t="shared" si="29"/>
        <v>34974.15</v>
      </c>
      <c r="P287" s="17">
        <f t="shared" si="27"/>
        <v>1045008.6538298874</v>
      </c>
      <c r="Q287" s="18"/>
      <c r="R287" s="240">
        <f t="shared" si="30"/>
        <v>3.7717215317080281E-4</v>
      </c>
      <c r="S287" s="223">
        <f t="shared" si="32"/>
        <v>42035.43</v>
      </c>
      <c r="T287" s="157"/>
      <c r="U287" s="157"/>
      <c r="V287" s="246">
        <f t="shared" si="31"/>
        <v>1079982.8038298874</v>
      </c>
    </row>
    <row r="288" spans="1:22" s="19" customFormat="1" ht="18.75" customHeight="1" x14ac:dyDescent="0.2">
      <c r="A288" s="16"/>
      <c r="B288" s="16"/>
      <c r="C288" s="20" t="s">
        <v>481</v>
      </c>
      <c r="D288" s="19" t="s">
        <v>237</v>
      </c>
      <c r="E288" s="16" t="s">
        <v>4</v>
      </c>
      <c r="F288" s="221">
        <v>0</v>
      </c>
      <c r="G288" s="221">
        <v>13920</v>
      </c>
      <c r="I288" s="220" t="s">
        <v>374</v>
      </c>
      <c r="K288" s="247">
        <v>274.2</v>
      </c>
      <c r="L288" s="217">
        <f>+K288*G288</f>
        <v>3816864</v>
      </c>
      <c r="M288" s="217">
        <v>130.03</v>
      </c>
      <c r="N288" s="117">
        <f t="shared" si="29"/>
        <v>3816864</v>
      </c>
      <c r="P288" s="17">
        <f t="shared" si="27"/>
        <v>94891185.672824472</v>
      </c>
      <c r="Q288" s="18"/>
      <c r="R288" s="240">
        <f t="shared" si="30"/>
        <v>3.4248819553771653E-2</v>
      </c>
      <c r="S288" s="223">
        <f t="shared" si="32"/>
        <v>3816994.03</v>
      </c>
      <c r="T288" s="157"/>
      <c r="U288" s="157"/>
      <c r="V288" s="246">
        <f t="shared" si="31"/>
        <v>98708049.672824472</v>
      </c>
    </row>
    <row r="289" spans="1:22" s="19" customFormat="1" ht="18.75" customHeight="1" x14ac:dyDescent="0.2">
      <c r="A289" s="16"/>
      <c r="B289" s="16"/>
      <c r="C289" s="20" t="s">
        <v>481</v>
      </c>
      <c r="D289" s="19" t="s">
        <v>237</v>
      </c>
      <c r="E289" s="16" t="s">
        <v>4</v>
      </c>
      <c r="F289" s="221">
        <v>0</v>
      </c>
      <c r="G289" s="221">
        <v>2700</v>
      </c>
      <c r="I289" s="220" t="s">
        <v>375</v>
      </c>
      <c r="K289" s="247">
        <v>372.6</v>
      </c>
      <c r="L289" s="217">
        <f t="shared" ref="L289:L298" si="33">+K289*G289</f>
        <v>1006020.0000000001</v>
      </c>
      <c r="M289" s="217">
        <v>130.18</v>
      </c>
      <c r="N289" s="117">
        <f t="shared" si="29"/>
        <v>1006020.0000000001</v>
      </c>
      <c r="P289" s="17">
        <f t="shared" si="27"/>
        <v>25013081.706372436</v>
      </c>
      <c r="Q289" s="18"/>
      <c r="R289" s="240">
        <f t="shared" si="30"/>
        <v>9.0279040752953132E-3</v>
      </c>
      <c r="S289" s="223">
        <f t="shared" si="32"/>
        <v>1006150.1800000002</v>
      </c>
      <c r="T289" s="157"/>
      <c r="U289" s="157"/>
      <c r="V289" s="246">
        <f t="shared" si="31"/>
        <v>26019101.706372436</v>
      </c>
    </row>
    <row r="290" spans="1:22" s="19" customFormat="1" ht="18.75" customHeight="1" x14ac:dyDescent="0.2">
      <c r="A290" s="16"/>
      <c r="B290" s="16"/>
      <c r="C290" s="20" t="s">
        <v>481</v>
      </c>
      <c r="D290" s="19" t="s">
        <v>237</v>
      </c>
      <c r="E290" s="16" t="s">
        <v>4</v>
      </c>
      <c r="F290" s="221">
        <v>0</v>
      </c>
      <c r="G290" s="221">
        <v>720</v>
      </c>
      <c r="I290" s="220" t="s">
        <v>376</v>
      </c>
      <c r="K290" s="247">
        <v>499.25</v>
      </c>
      <c r="L290" s="217">
        <f t="shared" si="33"/>
        <v>359460</v>
      </c>
      <c r="M290" s="217">
        <v>130.38</v>
      </c>
      <c r="N290" s="117">
        <f t="shared" si="29"/>
        <v>359460</v>
      </c>
      <c r="P290" s="17">
        <f t="shared" si="27"/>
        <v>8939484.119324524</v>
      </c>
      <c r="Q290" s="18"/>
      <c r="R290" s="240">
        <f t="shared" si="30"/>
        <v>3.2265038774221457E-3</v>
      </c>
      <c r="S290" s="223">
        <f t="shared" si="32"/>
        <v>359590.38</v>
      </c>
      <c r="T290" s="157"/>
      <c r="U290" s="157"/>
      <c r="V290" s="246">
        <f t="shared" si="31"/>
        <v>9298944.119324524</v>
      </c>
    </row>
    <row r="291" spans="1:22" s="19" customFormat="1" ht="18.75" customHeight="1" x14ac:dyDescent="0.2">
      <c r="A291" s="16"/>
      <c r="B291" s="16"/>
      <c r="C291" s="20" t="s">
        <v>481</v>
      </c>
      <c r="D291" s="19" t="s">
        <v>237</v>
      </c>
      <c r="E291" s="16" t="s">
        <v>4</v>
      </c>
      <c r="F291" s="221">
        <v>0</v>
      </c>
      <c r="G291" s="221">
        <v>330</v>
      </c>
      <c r="I291" s="220" t="s">
        <v>377</v>
      </c>
      <c r="K291" s="247">
        <v>659.05</v>
      </c>
      <c r="L291" s="217">
        <f t="shared" si="33"/>
        <v>217486.49999999997</v>
      </c>
      <c r="M291" s="217">
        <v>130.63</v>
      </c>
      <c r="N291" s="117">
        <f t="shared" si="29"/>
        <v>217486.49999999997</v>
      </c>
      <c r="P291" s="17">
        <f t="shared" si="27"/>
        <v>5410002.5638282653</v>
      </c>
      <c r="Q291" s="18"/>
      <c r="R291" s="240">
        <f t="shared" si="30"/>
        <v>1.9526176249166595E-3</v>
      </c>
      <c r="S291" s="223">
        <f t="shared" si="32"/>
        <v>217617.12999999998</v>
      </c>
      <c r="T291" s="157"/>
      <c r="U291" s="157"/>
      <c r="V291" s="246">
        <f t="shared" si="31"/>
        <v>5627489.0638282653</v>
      </c>
    </row>
    <row r="292" spans="1:22" s="19" customFormat="1" ht="18.75" customHeight="1" x14ac:dyDescent="0.2">
      <c r="A292" s="16"/>
      <c r="B292" s="16"/>
      <c r="C292" s="20" t="s">
        <v>481</v>
      </c>
      <c r="D292" s="19" t="s">
        <v>237</v>
      </c>
      <c r="E292" s="16" t="s">
        <v>4</v>
      </c>
      <c r="F292" s="221">
        <v>0</v>
      </c>
      <c r="G292" s="221">
        <v>30</v>
      </c>
      <c r="I292" s="220" t="s">
        <v>378</v>
      </c>
      <c r="K292" s="247">
        <v>843.55</v>
      </c>
      <c r="L292" s="217">
        <f t="shared" si="33"/>
        <v>25306.5</v>
      </c>
      <c r="M292" s="217">
        <v>130.93</v>
      </c>
      <c r="N292" s="117">
        <f t="shared" si="29"/>
        <v>25306.5</v>
      </c>
      <c r="P292" s="17">
        <f t="shared" si="27"/>
        <v>632379.26865960436</v>
      </c>
      <c r="Q292" s="18"/>
      <c r="R292" s="240">
        <f t="shared" si="30"/>
        <v>2.2824294278021121E-4</v>
      </c>
      <c r="S292" s="223">
        <f t="shared" si="32"/>
        <v>25437.43</v>
      </c>
      <c r="T292" s="157"/>
      <c r="U292" s="157"/>
      <c r="V292" s="246">
        <f t="shared" si="31"/>
        <v>657685.76865960436</v>
      </c>
    </row>
    <row r="293" spans="1:22" s="19" customFormat="1" ht="18.75" customHeight="1" x14ac:dyDescent="0.2">
      <c r="A293" s="16"/>
      <c r="B293" s="16"/>
      <c r="C293" s="20" t="s">
        <v>481</v>
      </c>
      <c r="D293" s="19" t="s">
        <v>237</v>
      </c>
      <c r="E293" s="16" t="s">
        <v>4</v>
      </c>
      <c r="F293" s="221">
        <v>0</v>
      </c>
      <c r="G293" s="221">
        <v>90</v>
      </c>
      <c r="I293" s="220" t="s">
        <v>379</v>
      </c>
      <c r="K293" s="247">
        <v>1079.6500000000001</v>
      </c>
      <c r="L293" s="217">
        <f t="shared" si="33"/>
        <v>97168.500000000015</v>
      </c>
      <c r="M293" s="217">
        <v>131.28</v>
      </c>
      <c r="N293" s="117">
        <f t="shared" si="29"/>
        <v>97168.500000000015</v>
      </c>
      <c r="P293" s="17">
        <f t="shared" si="27"/>
        <v>2418890.733739234</v>
      </c>
      <c r="Q293" s="18"/>
      <c r="R293" s="240">
        <f t="shared" si="30"/>
        <v>8.7304370445705963E-4</v>
      </c>
      <c r="S293" s="223">
        <f t="shared" si="32"/>
        <v>97299.780000000013</v>
      </c>
      <c r="T293" s="157"/>
      <c r="U293" s="157"/>
      <c r="V293" s="246">
        <f t="shared" si="31"/>
        <v>2516059.233739234</v>
      </c>
    </row>
    <row r="294" spans="1:22" s="19" customFormat="1" ht="18.75" customHeight="1" x14ac:dyDescent="0.2">
      <c r="A294" s="16"/>
      <c r="B294" s="16"/>
      <c r="C294" s="20" t="s">
        <v>482</v>
      </c>
      <c r="D294" s="19" t="s">
        <v>238</v>
      </c>
      <c r="E294" s="16" t="s">
        <v>4</v>
      </c>
      <c r="F294" s="221">
        <v>0</v>
      </c>
      <c r="G294" s="221">
        <v>402</v>
      </c>
      <c r="I294" s="220" t="s">
        <v>374</v>
      </c>
      <c r="K294" s="247">
        <v>274.2</v>
      </c>
      <c r="L294" s="217">
        <f t="shared" si="33"/>
        <v>110228.4</v>
      </c>
      <c r="M294" s="217">
        <v>130.03</v>
      </c>
      <c r="N294" s="117">
        <f t="shared" si="29"/>
        <v>110228.4</v>
      </c>
      <c r="P294" s="17">
        <f t="shared" si="27"/>
        <v>2743531.2157644122</v>
      </c>
      <c r="Q294" s="18"/>
      <c r="R294" s="240">
        <f t="shared" si="30"/>
        <v>9.902153174988174E-4</v>
      </c>
      <c r="S294" s="223">
        <f t="shared" si="32"/>
        <v>110358.43</v>
      </c>
      <c r="T294" s="157"/>
      <c r="U294" s="157"/>
      <c r="V294" s="246">
        <f t="shared" si="31"/>
        <v>2853759.6157644121</v>
      </c>
    </row>
    <row r="295" spans="1:22" s="19" customFormat="1" ht="18.75" customHeight="1" x14ac:dyDescent="0.2">
      <c r="A295" s="16"/>
      <c r="B295" s="16"/>
      <c r="C295" s="20" t="s">
        <v>482</v>
      </c>
      <c r="D295" s="19" t="s">
        <v>238</v>
      </c>
      <c r="E295" s="16" t="s">
        <v>4</v>
      </c>
      <c r="F295" s="221">
        <v>0</v>
      </c>
      <c r="G295" s="221">
        <v>276</v>
      </c>
      <c r="I295" s="220" t="s">
        <v>375</v>
      </c>
      <c r="K295" s="247">
        <v>372.6</v>
      </c>
      <c r="L295" s="217">
        <f t="shared" si="33"/>
        <v>102837.6</v>
      </c>
      <c r="M295" s="217">
        <v>130.18</v>
      </c>
      <c r="N295" s="117">
        <f t="shared" si="29"/>
        <v>102837.6</v>
      </c>
      <c r="P295" s="17">
        <f t="shared" si="27"/>
        <v>2559798.2741142889</v>
      </c>
      <c r="Q295" s="18"/>
      <c r="R295" s="240">
        <f t="shared" si="30"/>
        <v>9.2390108272515645E-4</v>
      </c>
      <c r="S295" s="223">
        <f t="shared" si="32"/>
        <v>102967.78</v>
      </c>
      <c r="T295" s="157"/>
      <c r="U295" s="157"/>
      <c r="V295" s="246">
        <f t="shared" si="31"/>
        <v>2662635.8741142889</v>
      </c>
    </row>
    <row r="296" spans="1:22" s="19" customFormat="1" ht="18.75" customHeight="1" x14ac:dyDescent="0.2">
      <c r="A296" s="16"/>
      <c r="B296" s="16"/>
      <c r="C296" s="20" t="s">
        <v>482</v>
      </c>
      <c r="D296" s="19" t="s">
        <v>238</v>
      </c>
      <c r="E296" s="16" t="s">
        <v>4</v>
      </c>
      <c r="F296" s="221">
        <v>0</v>
      </c>
      <c r="G296" s="221">
        <v>90</v>
      </c>
      <c r="I296" s="220" t="s">
        <v>376</v>
      </c>
      <c r="K296" s="247">
        <v>499.25</v>
      </c>
      <c r="L296" s="217">
        <f t="shared" si="33"/>
        <v>44932.5</v>
      </c>
      <c r="M296" s="217">
        <v>130.38</v>
      </c>
      <c r="N296" s="117">
        <f t="shared" si="29"/>
        <v>44932.5</v>
      </c>
      <c r="P296" s="17">
        <f t="shared" si="27"/>
        <v>1120271.6272082324</v>
      </c>
      <c r="Q296" s="18"/>
      <c r="R296" s="240">
        <f t="shared" si="30"/>
        <v>4.0433661503349683E-4</v>
      </c>
      <c r="S296" s="223">
        <f t="shared" si="32"/>
        <v>45062.879999999997</v>
      </c>
      <c r="T296" s="157"/>
      <c r="U296" s="157"/>
      <c r="V296" s="246">
        <f t="shared" si="31"/>
        <v>1165204.1272082324</v>
      </c>
    </row>
    <row r="297" spans="1:22" s="19" customFormat="1" ht="18.75" customHeight="1" x14ac:dyDescent="0.2">
      <c r="A297" s="16"/>
      <c r="B297" s="16"/>
      <c r="C297" s="20" t="s">
        <v>482</v>
      </c>
      <c r="D297" s="19" t="s">
        <v>238</v>
      </c>
      <c r="E297" s="16" t="s">
        <v>4</v>
      </c>
      <c r="F297" s="221">
        <v>0</v>
      </c>
      <c r="G297" s="221">
        <v>48</v>
      </c>
      <c r="I297" s="220" t="s">
        <v>377</v>
      </c>
      <c r="K297" s="247">
        <v>659.05</v>
      </c>
      <c r="L297" s="217">
        <f t="shared" si="33"/>
        <v>31634.399999999998</v>
      </c>
      <c r="M297" s="217">
        <v>130.63</v>
      </c>
      <c r="N297" s="117">
        <f t="shared" si="29"/>
        <v>31634.399999999998</v>
      </c>
      <c r="P297" s="17">
        <f t="shared" si="27"/>
        <v>789684.58843328082</v>
      </c>
      <c r="Q297" s="18"/>
      <c r="R297" s="240">
        <f t="shared" si="30"/>
        <v>2.850187273125348E-4</v>
      </c>
      <c r="S297" s="223">
        <f t="shared" si="32"/>
        <v>31765.03</v>
      </c>
      <c r="T297" s="157"/>
      <c r="U297" s="157"/>
      <c r="V297" s="246">
        <f t="shared" si="31"/>
        <v>821318.98843328084</v>
      </c>
    </row>
    <row r="298" spans="1:22" s="19" customFormat="1" ht="18.75" customHeight="1" x14ac:dyDescent="0.2">
      <c r="A298" s="16"/>
      <c r="B298" s="16"/>
      <c r="C298" s="20" t="s">
        <v>482</v>
      </c>
      <c r="D298" s="19" t="s">
        <v>238</v>
      </c>
      <c r="E298" s="16" t="s">
        <v>4</v>
      </c>
      <c r="F298" s="221">
        <v>0</v>
      </c>
      <c r="G298" s="221">
        <v>18</v>
      </c>
      <c r="I298" s="220" t="s">
        <v>378</v>
      </c>
      <c r="K298" s="247">
        <v>843.55</v>
      </c>
      <c r="L298" s="217">
        <f t="shared" si="33"/>
        <v>15183.9</v>
      </c>
      <c r="M298" s="217">
        <v>130.93</v>
      </c>
      <c r="N298" s="117">
        <f t="shared" si="29"/>
        <v>15183.9</v>
      </c>
      <c r="P298" s="17">
        <f t="shared" si="27"/>
        <v>380729.53891356825</v>
      </c>
      <c r="Q298" s="18"/>
      <c r="R298" s="240">
        <f t="shared" si="30"/>
        <v>1.3741568497205347E-4</v>
      </c>
      <c r="S298" s="223">
        <f t="shared" si="32"/>
        <v>15314.83</v>
      </c>
      <c r="T298" s="157"/>
      <c r="U298" s="157"/>
      <c r="V298" s="246">
        <f t="shared" si="31"/>
        <v>395913.43891356827</v>
      </c>
    </row>
    <row r="299" spans="1:22" s="19" customFormat="1" ht="18.75" customHeight="1" x14ac:dyDescent="0.2">
      <c r="A299" s="16"/>
      <c r="B299" s="16"/>
      <c r="C299" s="20" t="s">
        <v>483</v>
      </c>
      <c r="D299" s="19" t="s">
        <v>239</v>
      </c>
      <c r="E299" s="16" t="s">
        <v>4</v>
      </c>
      <c r="F299" s="221">
        <v>15</v>
      </c>
      <c r="G299" s="221">
        <v>0</v>
      </c>
      <c r="I299" s="220" t="s">
        <v>374</v>
      </c>
      <c r="K299" s="247">
        <v>4674.45</v>
      </c>
      <c r="L299" s="217">
        <f t="shared" si="28"/>
        <v>70116.75</v>
      </c>
      <c r="M299" s="217">
        <v>127.44999999999999</v>
      </c>
      <c r="N299" s="117">
        <f t="shared" si="29"/>
        <v>70116.75</v>
      </c>
      <c r="P299" s="17">
        <f t="shared" si="27"/>
        <v>1746283.9533545242</v>
      </c>
      <c r="Q299" s="18"/>
      <c r="R299" s="240">
        <f t="shared" si="30"/>
        <v>6.3028155443540135E-4</v>
      </c>
      <c r="S299" s="223">
        <f t="shared" si="32"/>
        <v>70244.2</v>
      </c>
      <c r="T299" s="157"/>
      <c r="U299" s="157"/>
      <c r="V299" s="246">
        <f t="shared" si="31"/>
        <v>1816400.7033545242</v>
      </c>
    </row>
    <row r="300" spans="1:22" s="19" customFormat="1" ht="18.75" customHeight="1" x14ac:dyDescent="0.2">
      <c r="A300" s="16"/>
      <c r="B300" s="16"/>
      <c r="C300" s="20" t="s">
        <v>484</v>
      </c>
      <c r="D300" s="19" t="s">
        <v>240</v>
      </c>
      <c r="E300" s="16" t="s">
        <v>4</v>
      </c>
      <c r="F300" s="221">
        <v>1</v>
      </c>
      <c r="G300" s="221">
        <v>0</v>
      </c>
      <c r="I300" s="220" t="s">
        <v>374</v>
      </c>
      <c r="K300" s="247">
        <v>5241.7</v>
      </c>
      <c r="L300" s="217">
        <f t="shared" si="28"/>
        <v>5241.7</v>
      </c>
      <c r="M300" s="217">
        <v>144.72</v>
      </c>
      <c r="N300" s="117">
        <f t="shared" si="29"/>
        <v>5241.7</v>
      </c>
      <c r="P300" s="17">
        <f t="shared" si="27"/>
        <v>133907.40889678974</v>
      </c>
      <c r="Q300" s="18"/>
      <c r="R300" s="240">
        <f t="shared" si="30"/>
        <v>4.8330839705512127E-5</v>
      </c>
      <c r="S300" s="223">
        <f t="shared" si="32"/>
        <v>5386.42</v>
      </c>
      <c r="T300" s="157"/>
      <c r="U300" s="157"/>
      <c r="V300" s="246">
        <f t="shared" si="31"/>
        <v>139149.10889678975</v>
      </c>
    </row>
    <row r="301" spans="1:22" s="19" customFormat="1" ht="18.75" customHeight="1" x14ac:dyDescent="0.2">
      <c r="A301" s="16"/>
      <c r="B301" s="16"/>
      <c r="C301" s="20" t="s">
        <v>485</v>
      </c>
      <c r="D301" s="19" t="s">
        <v>241</v>
      </c>
      <c r="E301" s="16" t="s">
        <v>4</v>
      </c>
      <c r="F301" s="221">
        <v>14</v>
      </c>
      <c r="G301" s="221">
        <v>0</v>
      </c>
      <c r="I301" s="220" t="s">
        <v>374</v>
      </c>
      <c r="K301" s="247">
        <v>7011.55</v>
      </c>
      <c r="L301" s="217">
        <f t="shared" si="28"/>
        <v>98161.7</v>
      </c>
      <c r="M301" s="217">
        <v>191.14999999999998</v>
      </c>
      <c r="N301" s="117">
        <f t="shared" si="29"/>
        <v>98161.7</v>
      </c>
      <c r="P301" s="17">
        <f t="shared" si="27"/>
        <v>2445070.2509486121</v>
      </c>
      <c r="Q301" s="18"/>
      <c r="R301" s="240">
        <f t="shared" si="30"/>
        <v>8.8249260695049357E-4</v>
      </c>
      <c r="S301" s="223">
        <f t="shared" si="32"/>
        <v>98352.849999999991</v>
      </c>
      <c r="T301" s="157"/>
      <c r="U301" s="157"/>
      <c r="V301" s="246">
        <f t="shared" si="31"/>
        <v>2543231.9509486123</v>
      </c>
    </row>
    <row r="302" spans="1:22" s="19" customFormat="1" ht="18.75" customHeight="1" x14ac:dyDescent="0.2">
      <c r="A302" s="16"/>
      <c r="B302" s="16"/>
      <c r="C302" s="20" t="s">
        <v>486</v>
      </c>
      <c r="D302" s="19" t="s">
        <v>242</v>
      </c>
      <c r="E302" s="16" t="s">
        <v>4</v>
      </c>
      <c r="F302" s="221">
        <v>1</v>
      </c>
      <c r="G302" s="221">
        <v>0</v>
      </c>
      <c r="I302" s="220" t="s">
        <v>374</v>
      </c>
      <c r="K302" s="247">
        <v>7862.65</v>
      </c>
      <c r="L302" s="217">
        <f t="shared" si="28"/>
        <v>7862.65</v>
      </c>
      <c r="M302" s="217">
        <v>217.06</v>
      </c>
      <c r="N302" s="117">
        <f t="shared" si="29"/>
        <v>7862.65</v>
      </c>
      <c r="P302" s="17">
        <f t="shared" si="27"/>
        <v>200863.10216015109</v>
      </c>
      <c r="Q302" s="18"/>
      <c r="R302" s="240">
        <f t="shared" si="30"/>
        <v>7.249697737588665E-5</v>
      </c>
      <c r="S302" s="223">
        <f t="shared" si="32"/>
        <v>8079.71</v>
      </c>
      <c r="T302" s="157"/>
      <c r="U302" s="157"/>
      <c r="V302" s="246">
        <f t="shared" si="31"/>
        <v>208725.75216015108</v>
      </c>
    </row>
    <row r="303" spans="1:22" s="19" customFormat="1" ht="18.75" customHeight="1" x14ac:dyDescent="0.2">
      <c r="A303" s="16"/>
      <c r="B303" s="16"/>
      <c r="C303" s="20" t="s">
        <v>487</v>
      </c>
      <c r="D303" s="19" t="s">
        <v>243</v>
      </c>
      <c r="E303" s="16" t="s">
        <v>4</v>
      </c>
      <c r="F303" s="221">
        <v>1</v>
      </c>
      <c r="G303" s="221">
        <v>0</v>
      </c>
      <c r="I303" s="220" t="s">
        <v>374</v>
      </c>
      <c r="K303" s="247">
        <v>9348.9500000000007</v>
      </c>
      <c r="L303" s="217">
        <f t="shared" si="28"/>
        <v>9348.9500000000007</v>
      </c>
      <c r="M303" s="217">
        <v>254.91000000000003</v>
      </c>
      <c r="N303" s="117">
        <f t="shared" si="29"/>
        <v>9348.9500000000007</v>
      </c>
      <c r="P303" s="17">
        <f t="shared" si="27"/>
        <v>238753.75629964299</v>
      </c>
      <c r="Q303" s="18"/>
      <c r="R303" s="240">
        <f t="shared" si="30"/>
        <v>8.6172748915639642E-5</v>
      </c>
      <c r="S303" s="223">
        <f t="shared" si="32"/>
        <v>9603.86</v>
      </c>
      <c r="T303" s="157"/>
      <c r="U303" s="157"/>
      <c r="V303" s="246">
        <f t="shared" si="31"/>
        <v>248102.706299643</v>
      </c>
    </row>
    <row r="304" spans="1:22" s="19" customFormat="1" ht="18.75" customHeight="1" x14ac:dyDescent="0.2">
      <c r="A304" s="16"/>
      <c r="B304" s="16"/>
      <c r="C304" s="20" t="s">
        <v>488</v>
      </c>
      <c r="D304" s="19" t="s">
        <v>244</v>
      </c>
      <c r="E304" s="16" t="s">
        <v>4</v>
      </c>
      <c r="F304" s="221">
        <v>9</v>
      </c>
      <c r="G304" s="221">
        <v>0</v>
      </c>
      <c r="I304" s="220" t="s">
        <v>374</v>
      </c>
      <c r="K304" s="247">
        <v>10483.5</v>
      </c>
      <c r="L304" s="217">
        <f t="shared" si="28"/>
        <v>94351.5</v>
      </c>
      <c r="M304" s="217">
        <v>289.39999999999998</v>
      </c>
      <c r="N304" s="117">
        <f t="shared" si="29"/>
        <v>94351.5</v>
      </c>
      <c r="P304" s="17">
        <f t="shared" si="27"/>
        <v>2352790.4795133295</v>
      </c>
      <c r="Q304" s="18"/>
      <c r="R304" s="240">
        <f t="shared" si="30"/>
        <v>8.4918631808982633E-4</v>
      </c>
      <c r="S304" s="223">
        <f t="shared" si="32"/>
        <v>94640.9</v>
      </c>
      <c r="T304" s="157"/>
      <c r="U304" s="157"/>
      <c r="V304" s="246">
        <f t="shared" si="31"/>
        <v>2447141.9795133295</v>
      </c>
    </row>
    <row r="305" spans="1:22" s="19" customFormat="1" ht="18.75" customHeight="1" x14ac:dyDescent="0.2">
      <c r="A305" s="16"/>
      <c r="B305" s="16"/>
      <c r="C305" s="20" t="s">
        <v>489</v>
      </c>
      <c r="D305" s="19" t="s">
        <v>245</v>
      </c>
      <c r="E305" s="16" t="s">
        <v>4</v>
      </c>
      <c r="F305" s="221">
        <v>11</v>
      </c>
      <c r="G305" s="221">
        <v>0</v>
      </c>
      <c r="I305" s="220" t="s">
        <v>374</v>
      </c>
      <c r="K305" s="247">
        <v>11745.7</v>
      </c>
      <c r="L305" s="217">
        <f t="shared" si="28"/>
        <v>129202.70000000001</v>
      </c>
      <c r="M305" s="217">
        <v>318.93</v>
      </c>
      <c r="N305" s="117">
        <f t="shared" si="29"/>
        <v>129202.70000000001</v>
      </c>
      <c r="P305" s="17">
        <f t="shared" si="27"/>
        <v>3219931.952834853</v>
      </c>
      <c r="Q305" s="18"/>
      <c r="R305" s="240">
        <f t="shared" si="30"/>
        <v>1.1621613498254222E-3</v>
      </c>
      <c r="S305" s="223">
        <f t="shared" si="32"/>
        <v>129521.63</v>
      </c>
      <c r="T305" s="157"/>
      <c r="U305" s="157"/>
      <c r="V305" s="246">
        <f t="shared" si="31"/>
        <v>3349134.6528348532</v>
      </c>
    </row>
    <row r="306" spans="1:22" s="19" customFormat="1" ht="18.75" customHeight="1" x14ac:dyDescent="0.2">
      <c r="A306" s="16"/>
      <c r="B306" s="16"/>
      <c r="C306" s="20" t="s">
        <v>490</v>
      </c>
      <c r="D306" s="19" t="s">
        <v>246</v>
      </c>
      <c r="E306" s="16" t="s">
        <v>4</v>
      </c>
      <c r="F306" s="221">
        <v>22</v>
      </c>
      <c r="G306" s="221">
        <v>0</v>
      </c>
      <c r="I306" s="220" t="s">
        <v>374</v>
      </c>
      <c r="K306" s="247">
        <v>13578.6</v>
      </c>
      <c r="L306" s="217">
        <f t="shared" si="28"/>
        <v>298729.2</v>
      </c>
      <c r="M306" s="217">
        <v>353.21</v>
      </c>
      <c r="N306" s="117">
        <f t="shared" si="29"/>
        <v>298729.2</v>
      </c>
      <c r="P306" s="17">
        <f t="shared" si="27"/>
        <v>7435244.6652335534</v>
      </c>
      <c r="Q306" s="18"/>
      <c r="R306" s="240">
        <f t="shared" si="30"/>
        <v>2.6835827908793333E-3</v>
      </c>
      <c r="S306" s="223">
        <f t="shared" si="32"/>
        <v>299082.41000000003</v>
      </c>
      <c r="T306" s="157"/>
      <c r="U306" s="157"/>
      <c r="V306" s="246">
        <f t="shared" si="31"/>
        <v>7733973.8652335536</v>
      </c>
    </row>
    <row r="307" spans="1:22" s="19" customFormat="1" ht="18.75" customHeight="1" x14ac:dyDescent="0.2">
      <c r="A307" s="16"/>
      <c r="B307" s="16"/>
      <c r="C307" s="20" t="s">
        <v>491</v>
      </c>
      <c r="D307" s="19" t="s">
        <v>247</v>
      </c>
      <c r="E307" s="16" t="s">
        <v>4</v>
      </c>
      <c r="F307" s="221">
        <v>3</v>
      </c>
      <c r="G307" s="221">
        <v>0</v>
      </c>
      <c r="I307" s="220" t="s">
        <v>374</v>
      </c>
      <c r="K307" s="247">
        <v>16073.2</v>
      </c>
      <c r="L307" s="217">
        <f t="shared" si="28"/>
        <v>48219.600000000006</v>
      </c>
      <c r="M307" s="217">
        <v>394.98</v>
      </c>
      <c r="N307" s="117">
        <f t="shared" si="29"/>
        <v>48219.600000000006</v>
      </c>
      <c r="P307" s="17">
        <f t="shared" si="27"/>
        <v>1208567.5536637872</v>
      </c>
      <c r="Q307" s="18"/>
      <c r="R307" s="240">
        <f t="shared" si="30"/>
        <v>4.3620502547718075E-4</v>
      </c>
      <c r="S307" s="223">
        <f t="shared" si="32"/>
        <v>48614.580000000009</v>
      </c>
      <c r="T307" s="157"/>
      <c r="U307" s="157"/>
      <c r="V307" s="246">
        <f t="shared" si="31"/>
        <v>1256787.1536637873</v>
      </c>
    </row>
    <row r="308" spans="1:22" s="19" customFormat="1" ht="18.75" customHeight="1" x14ac:dyDescent="0.2">
      <c r="A308" s="16"/>
      <c r="B308" s="16"/>
      <c r="C308" s="20" t="s">
        <v>492</v>
      </c>
      <c r="D308" s="19" t="s">
        <v>248</v>
      </c>
      <c r="E308" s="16" t="s">
        <v>4</v>
      </c>
      <c r="F308" s="221">
        <v>3</v>
      </c>
      <c r="G308" s="221">
        <v>0</v>
      </c>
      <c r="I308" s="220" t="s">
        <v>374</v>
      </c>
      <c r="K308" s="247">
        <v>18841.5</v>
      </c>
      <c r="L308" s="217">
        <f t="shared" si="28"/>
        <v>56524.5</v>
      </c>
      <c r="M308" s="217">
        <v>443.84000000000003</v>
      </c>
      <c r="N308" s="117">
        <f t="shared" si="29"/>
        <v>56524.5</v>
      </c>
      <c r="P308" s="17">
        <f t="shared" si="27"/>
        <v>1416243.5900934837</v>
      </c>
      <c r="Q308" s="18"/>
      <c r="R308" s="240">
        <f t="shared" si="30"/>
        <v>5.1116097683231434E-4</v>
      </c>
      <c r="S308" s="223">
        <f t="shared" si="32"/>
        <v>56968.34</v>
      </c>
      <c r="T308" s="157"/>
      <c r="U308" s="157"/>
      <c r="V308" s="246">
        <f t="shared" si="31"/>
        <v>1472768.0900934837</v>
      </c>
    </row>
    <row r="309" spans="1:22" s="19" customFormat="1" ht="18.75" customHeight="1" x14ac:dyDescent="0.2">
      <c r="A309" s="16"/>
      <c r="B309" s="16"/>
      <c r="C309" s="20" t="s">
        <v>493</v>
      </c>
      <c r="D309" s="19" t="s">
        <v>249</v>
      </c>
      <c r="E309" s="16" t="s">
        <v>4</v>
      </c>
      <c r="F309" s="221">
        <v>6</v>
      </c>
      <c r="G309" s="221">
        <v>0</v>
      </c>
      <c r="I309" s="220" t="s">
        <v>374</v>
      </c>
      <c r="K309" s="247">
        <v>9348.9500000000007</v>
      </c>
      <c r="L309" s="217">
        <f t="shared" si="28"/>
        <v>56093.700000000004</v>
      </c>
      <c r="M309" s="217">
        <v>254.91000000000003</v>
      </c>
      <c r="N309" s="117">
        <f t="shared" si="29"/>
        <v>56093.700000000004</v>
      </c>
      <c r="P309" s="17">
        <f t="shared" si="27"/>
        <v>1400836.9863537815</v>
      </c>
      <c r="Q309" s="18"/>
      <c r="R309" s="240">
        <f t="shared" si="30"/>
        <v>5.0560031292368917E-4</v>
      </c>
      <c r="S309" s="223">
        <f t="shared" si="32"/>
        <v>56348.610000000008</v>
      </c>
      <c r="T309" s="157"/>
      <c r="U309" s="157"/>
      <c r="V309" s="246">
        <f t="shared" si="31"/>
        <v>1456930.6863537815</v>
      </c>
    </row>
    <row r="310" spans="1:22" s="19" customFormat="1" ht="18.75" customHeight="1" x14ac:dyDescent="0.2">
      <c r="A310" s="16"/>
      <c r="B310" s="16"/>
      <c r="C310" s="20" t="s">
        <v>494</v>
      </c>
      <c r="D310" s="19" t="s">
        <v>250</v>
      </c>
      <c r="E310" s="16" t="s">
        <v>4</v>
      </c>
      <c r="F310" s="221">
        <v>1</v>
      </c>
      <c r="G310" s="221">
        <v>0</v>
      </c>
      <c r="I310" s="220" t="s">
        <v>374</v>
      </c>
      <c r="K310" s="247">
        <v>10483.5</v>
      </c>
      <c r="L310" s="217">
        <f t="shared" si="28"/>
        <v>10483.5</v>
      </c>
      <c r="M310" s="217">
        <v>289.39999999999998</v>
      </c>
      <c r="N310" s="117">
        <f t="shared" si="29"/>
        <v>10483.5</v>
      </c>
      <c r="P310" s="17">
        <f t="shared" si="27"/>
        <v>267816.30940480431</v>
      </c>
      <c r="Q310" s="18"/>
      <c r="R310" s="240">
        <f t="shared" si="30"/>
        <v>9.6662217774238086E-5</v>
      </c>
      <c r="S310" s="223">
        <f t="shared" si="32"/>
        <v>10772.9</v>
      </c>
      <c r="T310" s="157"/>
      <c r="U310" s="157"/>
      <c r="V310" s="246">
        <f t="shared" si="31"/>
        <v>278299.80940480431</v>
      </c>
    </row>
    <row r="311" spans="1:22" s="19" customFormat="1" ht="18.75" customHeight="1" x14ac:dyDescent="0.2">
      <c r="A311" s="16"/>
      <c r="B311" s="16"/>
      <c r="C311" s="20" t="s">
        <v>495</v>
      </c>
      <c r="D311" s="19" t="s">
        <v>251</v>
      </c>
      <c r="E311" s="16" t="s">
        <v>4</v>
      </c>
      <c r="F311" s="221">
        <v>2</v>
      </c>
      <c r="G311" s="221">
        <v>0</v>
      </c>
      <c r="I311" s="220" t="s">
        <v>374</v>
      </c>
      <c r="K311" s="247">
        <v>13578.6</v>
      </c>
      <c r="L311" s="217">
        <f t="shared" si="28"/>
        <v>27157.200000000001</v>
      </c>
      <c r="M311" s="217">
        <v>353.21</v>
      </c>
      <c r="N311" s="117">
        <f t="shared" si="29"/>
        <v>27157.200000000001</v>
      </c>
      <c r="P311" s="17">
        <f t="shared" si="27"/>
        <v>683913.93927475647</v>
      </c>
      <c r="Q311" s="18"/>
      <c r="R311" s="240">
        <f t="shared" si="30"/>
        <v>2.4684321236422669E-4</v>
      </c>
      <c r="S311" s="223">
        <f t="shared" si="32"/>
        <v>27510.41</v>
      </c>
      <c r="T311" s="157"/>
      <c r="U311" s="157"/>
      <c r="V311" s="246">
        <f t="shared" si="31"/>
        <v>711071.13927475642</v>
      </c>
    </row>
    <row r="312" spans="1:22" s="19" customFormat="1" ht="18.75" customHeight="1" x14ac:dyDescent="0.2">
      <c r="A312" s="16"/>
      <c r="B312" s="16"/>
      <c r="C312" s="20" t="s">
        <v>496</v>
      </c>
      <c r="D312" s="19" t="s">
        <v>252</v>
      </c>
      <c r="E312" s="16" t="s">
        <v>4</v>
      </c>
      <c r="F312" s="221">
        <v>8</v>
      </c>
      <c r="G312" s="221">
        <v>0</v>
      </c>
      <c r="I312" s="220" t="s">
        <v>374</v>
      </c>
      <c r="K312" s="247">
        <v>11745.7</v>
      </c>
      <c r="L312" s="217">
        <f t="shared" si="28"/>
        <v>93965.6</v>
      </c>
      <c r="M312" s="217">
        <v>318.93</v>
      </c>
      <c r="N312" s="117">
        <f t="shared" si="29"/>
        <v>93965.6</v>
      </c>
      <c r="P312" s="17">
        <f t="shared" si="27"/>
        <v>2343931.0546432766</v>
      </c>
      <c r="Q312" s="18"/>
      <c r="R312" s="240">
        <f t="shared" si="30"/>
        <v>8.4598870978118098E-4</v>
      </c>
      <c r="S312" s="223">
        <f t="shared" si="32"/>
        <v>94284.53</v>
      </c>
      <c r="T312" s="157"/>
      <c r="U312" s="157"/>
      <c r="V312" s="246">
        <f t="shared" si="31"/>
        <v>2437896.6546432767</v>
      </c>
    </row>
    <row r="313" spans="1:22" s="19" customFormat="1" ht="18.75" customHeight="1" x14ac:dyDescent="0.2">
      <c r="A313" s="16"/>
      <c r="B313" s="16"/>
      <c r="C313" s="20" t="s">
        <v>497</v>
      </c>
      <c r="D313" s="19" t="s">
        <v>253</v>
      </c>
      <c r="E313" s="16" t="s">
        <v>4</v>
      </c>
      <c r="F313" s="221">
        <v>8</v>
      </c>
      <c r="G313" s="221">
        <v>0</v>
      </c>
      <c r="I313" s="220" t="s">
        <v>374</v>
      </c>
      <c r="K313" s="247">
        <v>18841.5</v>
      </c>
      <c r="L313" s="217">
        <f t="shared" si="28"/>
        <v>150732</v>
      </c>
      <c r="M313" s="217">
        <v>443.84000000000003</v>
      </c>
      <c r="N313" s="117">
        <f t="shared" si="29"/>
        <v>150732</v>
      </c>
      <c r="P313" s="17">
        <f t="shared" si="27"/>
        <v>3758259.6645259117</v>
      </c>
      <c r="Q313" s="18"/>
      <c r="R313" s="240">
        <f t="shared" si="30"/>
        <v>1.3564585179741179E-3</v>
      </c>
      <c r="S313" s="223">
        <f t="shared" si="32"/>
        <v>151175.84</v>
      </c>
      <c r="T313" s="157"/>
      <c r="U313" s="157"/>
      <c r="V313" s="246">
        <f t="shared" si="31"/>
        <v>3908991.6645259117</v>
      </c>
    </row>
    <row r="314" spans="1:22" s="19" customFormat="1" ht="18.75" customHeight="1" x14ac:dyDescent="0.2">
      <c r="A314" s="16"/>
      <c r="B314" s="16"/>
      <c r="C314" s="20" t="s">
        <v>498</v>
      </c>
      <c r="D314" s="19" t="s">
        <v>254</v>
      </c>
      <c r="E314" s="16" t="s">
        <v>4</v>
      </c>
      <c r="F314" s="221">
        <v>0</v>
      </c>
      <c r="G314" s="221">
        <v>143</v>
      </c>
      <c r="I314" s="220" t="s">
        <v>374</v>
      </c>
      <c r="K314" s="247">
        <v>270.45</v>
      </c>
      <c r="L314" s="217">
        <f>+K314*G314</f>
        <v>38674.35</v>
      </c>
      <c r="M314" s="217">
        <v>7.28</v>
      </c>
      <c r="N314" s="117">
        <f t="shared" si="29"/>
        <v>38674.35</v>
      </c>
      <c r="P314" s="17">
        <f t="shared" si="27"/>
        <v>961632.55839766073</v>
      </c>
      <c r="Q314" s="18"/>
      <c r="R314" s="240">
        <f t="shared" si="30"/>
        <v>3.4707944406079153E-4</v>
      </c>
      <c r="S314" s="223">
        <f t="shared" si="32"/>
        <v>38681.629999999997</v>
      </c>
      <c r="T314" s="157"/>
      <c r="U314" s="157"/>
      <c r="V314" s="246">
        <f t="shared" si="31"/>
        <v>1000306.9083976607</v>
      </c>
    </row>
    <row r="315" spans="1:22" s="19" customFormat="1" ht="18.75" customHeight="1" x14ac:dyDescent="0.2">
      <c r="A315" s="16"/>
      <c r="B315" s="16"/>
      <c r="C315" s="20" t="s">
        <v>499</v>
      </c>
      <c r="D315" s="19" t="s">
        <v>255</v>
      </c>
      <c r="E315" s="16" t="s">
        <v>4</v>
      </c>
      <c r="F315" s="221">
        <v>0</v>
      </c>
      <c r="G315" s="221">
        <v>19</v>
      </c>
      <c r="I315" s="220" t="s">
        <v>374</v>
      </c>
      <c r="K315" s="247">
        <v>270.45</v>
      </c>
      <c r="L315" s="217">
        <f>+K315*G315</f>
        <v>5138.55</v>
      </c>
      <c r="M315" s="217">
        <v>7.28</v>
      </c>
      <c r="N315" s="117">
        <f t="shared" si="29"/>
        <v>5138.55</v>
      </c>
      <c r="P315" s="17">
        <f t="shared" si="27"/>
        <v>127926.29648697417</v>
      </c>
      <c r="Q315" s="18"/>
      <c r="R315" s="240">
        <f t="shared" si="30"/>
        <v>4.6172092945187236E-5</v>
      </c>
      <c r="S315" s="223">
        <f t="shared" si="32"/>
        <v>5145.83</v>
      </c>
      <c r="T315" s="157"/>
      <c r="U315" s="157"/>
      <c r="V315" s="246">
        <f t="shared" si="31"/>
        <v>133064.84648697416</v>
      </c>
    </row>
    <row r="316" spans="1:22" s="19" customFormat="1" ht="18.75" customHeight="1" x14ac:dyDescent="0.2">
      <c r="A316" s="16"/>
      <c r="B316" s="16"/>
      <c r="C316" s="20" t="s">
        <v>500</v>
      </c>
      <c r="D316" s="19" t="s">
        <v>256</v>
      </c>
      <c r="E316" s="16" t="s">
        <v>4</v>
      </c>
      <c r="F316" s="221">
        <v>0</v>
      </c>
      <c r="G316" s="221">
        <v>338</v>
      </c>
      <c r="I316" s="220" t="s">
        <v>374</v>
      </c>
      <c r="K316" s="247">
        <v>237.3</v>
      </c>
      <c r="L316" s="217">
        <f>+K316*G316</f>
        <v>80207.400000000009</v>
      </c>
      <c r="M316" s="217">
        <v>6.5699999999999994</v>
      </c>
      <c r="N316" s="117">
        <f t="shared" si="29"/>
        <v>80207.400000000009</v>
      </c>
      <c r="P316" s="17">
        <f t="shared" si="27"/>
        <v>1994134.3007089731</v>
      </c>
      <c r="Q316" s="18"/>
      <c r="R316" s="240">
        <f t="shared" si="30"/>
        <v>7.1973751141068824E-4</v>
      </c>
      <c r="S316" s="223">
        <f t="shared" si="32"/>
        <v>80213.970000000016</v>
      </c>
      <c r="T316" s="157"/>
      <c r="U316" s="157"/>
      <c r="V316" s="246">
        <f t="shared" si="31"/>
        <v>2074341.700708973</v>
      </c>
    </row>
    <row r="317" spans="1:22" s="19" customFormat="1" ht="18.75" customHeight="1" x14ac:dyDescent="0.2">
      <c r="A317" s="16"/>
      <c r="B317" s="16"/>
      <c r="C317" s="20" t="s">
        <v>501</v>
      </c>
      <c r="D317" s="19" t="s">
        <v>257</v>
      </c>
      <c r="E317" s="16" t="s">
        <v>4</v>
      </c>
      <c r="F317" s="221">
        <v>0</v>
      </c>
      <c r="G317" s="221">
        <v>69</v>
      </c>
      <c r="I317" s="220" t="s">
        <v>374</v>
      </c>
      <c r="K317" s="247">
        <v>270.45</v>
      </c>
      <c r="L317" s="217">
        <f>+K317*G317</f>
        <v>18661.05</v>
      </c>
      <c r="M317" s="217">
        <v>7.28</v>
      </c>
      <c r="N317" s="117">
        <f t="shared" si="29"/>
        <v>18661.05</v>
      </c>
      <c r="P317" s="17">
        <f t="shared" si="27"/>
        <v>464098.17628967034</v>
      </c>
      <c r="Q317" s="18"/>
      <c r="R317" s="240">
        <f t="shared" si="30"/>
        <v>1.6750570226599541E-4</v>
      </c>
      <c r="S317" s="223">
        <f t="shared" si="32"/>
        <v>18668.329999999998</v>
      </c>
      <c r="T317" s="157"/>
      <c r="U317" s="157"/>
      <c r="V317" s="246">
        <f t="shared" si="31"/>
        <v>482759.22628967033</v>
      </c>
    </row>
    <row r="318" spans="1:22" s="19" customFormat="1" ht="18.75" customHeight="1" x14ac:dyDescent="0.2">
      <c r="A318" s="16"/>
      <c r="B318" s="16"/>
      <c r="C318" s="20" t="s">
        <v>502</v>
      </c>
      <c r="D318" s="19" t="s">
        <v>258</v>
      </c>
      <c r="E318" s="16" t="s">
        <v>4</v>
      </c>
      <c r="F318" s="221">
        <v>1</v>
      </c>
      <c r="G318" s="221">
        <v>0</v>
      </c>
      <c r="I318" s="220" t="s">
        <v>374</v>
      </c>
      <c r="K318" s="247">
        <v>8809.35</v>
      </c>
      <c r="L318" s="217">
        <f t="shared" si="28"/>
        <v>8809.35</v>
      </c>
      <c r="M318" s="217">
        <v>239.20000000000002</v>
      </c>
      <c r="N318" s="117">
        <f t="shared" si="29"/>
        <v>8809.35</v>
      </c>
      <c r="P318" s="17">
        <f t="shared" si="27"/>
        <v>224948.64581169808</v>
      </c>
      <c r="Q318" s="18"/>
      <c r="R318" s="240">
        <f t="shared" si="30"/>
        <v>8.1190107644281686E-5</v>
      </c>
      <c r="S318" s="223">
        <f t="shared" si="32"/>
        <v>9048.5500000000011</v>
      </c>
      <c r="T318" s="157"/>
      <c r="U318" s="157"/>
      <c r="V318" s="246">
        <f t="shared" si="31"/>
        <v>233757.99581169809</v>
      </c>
    </row>
    <row r="319" spans="1:22" s="19" customFormat="1" ht="18.75" customHeight="1" x14ac:dyDescent="0.2">
      <c r="A319" s="16"/>
      <c r="B319" s="16"/>
      <c r="C319" s="20" t="s">
        <v>503</v>
      </c>
      <c r="D319" s="19" t="s">
        <v>259</v>
      </c>
      <c r="E319" s="16" t="s">
        <v>4</v>
      </c>
      <c r="F319" s="221">
        <v>2</v>
      </c>
      <c r="G319" s="221">
        <v>0</v>
      </c>
      <c r="I319" s="220" t="s">
        <v>374</v>
      </c>
      <c r="K319" s="247">
        <v>13578.6</v>
      </c>
      <c r="L319" s="217">
        <f t="shared" si="28"/>
        <v>27157.200000000001</v>
      </c>
      <c r="M319" s="217">
        <v>353.21</v>
      </c>
      <c r="N319" s="117">
        <f t="shared" si="29"/>
        <v>27157.200000000001</v>
      </c>
      <c r="P319" s="17">
        <f t="shared" si="27"/>
        <v>683913.93927475647</v>
      </c>
      <c r="Q319" s="18"/>
      <c r="R319" s="240">
        <f t="shared" si="30"/>
        <v>2.4684321236422669E-4</v>
      </c>
      <c r="S319" s="223">
        <f t="shared" si="32"/>
        <v>27510.41</v>
      </c>
      <c r="T319" s="157"/>
      <c r="U319" s="157"/>
      <c r="V319" s="246">
        <f t="shared" si="31"/>
        <v>711071.13927475642</v>
      </c>
    </row>
    <row r="320" spans="1:22" s="19" customFormat="1" ht="18.75" customHeight="1" x14ac:dyDescent="0.2">
      <c r="A320" s="16"/>
      <c r="B320" s="16"/>
      <c r="C320" s="20" t="s">
        <v>504</v>
      </c>
      <c r="D320" s="19" t="s">
        <v>260</v>
      </c>
      <c r="E320" s="16" t="s">
        <v>4</v>
      </c>
      <c r="F320" s="221">
        <v>0</v>
      </c>
      <c r="G320" s="221">
        <v>65</v>
      </c>
      <c r="I320" s="220" t="s">
        <v>374</v>
      </c>
      <c r="K320" s="247">
        <v>270.45</v>
      </c>
      <c r="L320" s="217">
        <f>+K320*G320</f>
        <v>17579.25</v>
      </c>
      <c r="M320" s="217">
        <v>7.28</v>
      </c>
      <c r="N320" s="117">
        <f t="shared" si="29"/>
        <v>17579.25</v>
      </c>
      <c r="P320" s="17">
        <f t="shared" si="27"/>
        <v>437204.42590545467</v>
      </c>
      <c r="Q320" s="18"/>
      <c r="R320" s="240">
        <f t="shared" si="30"/>
        <v>1.5779901352033077E-4</v>
      </c>
      <c r="S320" s="223">
        <f t="shared" si="32"/>
        <v>17586.53</v>
      </c>
      <c r="T320" s="157"/>
      <c r="U320" s="157"/>
      <c r="V320" s="246">
        <f t="shared" si="31"/>
        <v>454783.67590545467</v>
      </c>
    </row>
    <row r="321" spans="1:22" s="19" customFormat="1" ht="18.75" customHeight="1" x14ac:dyDescent="0.2">
      <c r="A321" s="16"/>
      <c r="B321" s="16"/>
      <c r="C321" s="20" t="s">
        <v>505</v>
      </c>
      <c r="D321" s="19" t="s">
        <v>261</v>
      </c>
      <c r="E321" s="16" t="s">
        <v>4</v>
      </c>
      <c r="F321" s="221">
        <v>0</v>
      </c>
      <c r="G321" s="221">
        <v>12</v>
      </c>
      <c r="I321" s="220" t="s">
        <v>374</v>
      </c>
      <c r="K321" s="247">
        <v>148.5</v>
      </c>
      <c r="L321" s="217">
        <f>+K321*G321</f>
        <v>1782</v>
      </c>
      <c r="M321" s="217">
        <v>5.05</v>
      </c>
      <c r="N321" s="117">
        <f t="shared" si="29"/>
        <v>1782</v>
      </c>
      <c r="P321" s="17">
        <f t="shared" si="27"/>
        <v>44426.397323084362</v>
      </c>
      <c r="Q321" s="18"/>
      <c r="R321" s="240">
        <f t="shared" si="30"/>
        <v>1.6034699688426717E-5</v>
      </c>
      <c r="S321" s="223">
        <f t="shared" si="32"/>
        <v>1787.05</v>
      </c>
      <c r="T321" s="157"/>
      <c r="U321" s="157"/>
      <c r="V321" s="246">
        <f t="shared" si="31"/>
        <v>46208.397323084362</v>
      </c>
    </row>
    <row r="322" spans="1:22" s="19" customFormat="1" ht="18.75" customHeight="1" x14ac:dyDescent="0.2">
      <c r="A322" s="16"/>
      <c r="B322" s="16"/>
      <c r="C322" s="20" t="s">
        <v>506</v>
      </c>
      <c r="D322" s="19" t="s">
        <v>262</v>
      </c>
      <c r="E322" s="16" t="s">
        <v>4</v>
      </c>
      <c r="F322" s="221">
        <v>0</v>
      </c>
      <c r="G322" s="221">
        <v>2</v>
      </c>
      <c r="I322" s="220" t="s">
        <v>374</v>
      </c>
      <c r="K322" s="247">
        <v>202.8</v>
      </c>
      <c r="L322" s="217">
        <f>+K322*G322</f>
        <v>405.6</v>
      </c>
      <c r="M322" s="217">
        <v>6.5699999999999994</v>
      </c>
      <c r="N322" s="117">
        <f t="shared" si="29"/>
        <v>405.6</v>
      </c>
      <c r="P322" s="17">
        <f t="shared" si="27"/>
        <v>10246.623309171922</v>
      </c>
      <c r="Q322" s="18"/>
      <c r="R322" s="240">
        <f t="shared" si="30"/>
        <v>3.6982860975232035E-6</v>
      </c>
      <c r="S322" s="223">
        <f t="shared" si="32"/>
        <v>412.17</v>
      </c>
      <c r="T322" s="157"/>
      <c r="U322" s="157"/>
      <c r="V322" s="246">
        <f t="shared" si="31"/>
        <v>10652.223309171923</v>
      </c>
    </row>
    <row r="323" spans="1:22" s="19" customFormat="1" ht="18.75" customHeight="1" x14ac:dyDescent="0.2">
      <c r="A323" s="16"/>
      <c r="B323" s="16"/>
      <c r="C323" s="20" t="s">
        <v>507</v>
      </c>
      <c r="D323" s="19" t="s">
        <v>342</v>
      </c>
      <c r="E323" s="16" t="s">
        <v>4</v>
      </c>
      <c r="F323" s="221">
        <v>1</v>
      </c>
      <c r="G323" s="221">
        <v>0</v>
      </c>
      <c r="I323" s="220" t="s">
        <v>374</v>
      </c>
      <c r="K323" s="247">
        <v>5462.2</v>
      </c>
      <c r="L323" s="217">
        <f t="shared" si="28"/>
        <v>5462.2</v>
      </c>
      <c r="M323" s="217">
        <v>107.75</v>
      </c>
      <c r="N323" s="117">
        <f t="shared" si="29"/>
        <v>5462.2</v>
      </c>
      <c r="P323" s="17">
        <f t="shared" si="27"/>
        <v>138469.99903176393</v>
      </c>
      <c r="Q323" s="18"/>
      <c r="R323" s="240">
        <f t="shared" si="30"/>
        <v>4.9977603049468339E-5</v>
      </c>
      <c r="S323" s="223">
        <f t="shared" si="32"/>
        <v>5569.95</v>
      </c>
      <c r="T323" s="157"/>
      <c r="U323" s="157"/>
      <c r="V323" s="246">
        <f t="shared" si="31"/>
        <v>143932.19903176394</v>
      </c>
    </row>
    <row r="324" spans="1:22" s="19" customFormat="1" ht="18.75" customHeight="1" x14ac:dyDescent="0.2">
      <c r="A324" s="16"/>
      <c r="B324" s="16"/>
      <c r="C324" s="20" t="s">
        <v>508</v>
      </c>
      <c r="D324" s="19" t="s">
        <v>343</v>
      </c>
      <c r="E324" s="16" t="s">
        <v>4</v>
      </c>
      <c r="F324" s="221">
        <v>6</v>
      </c>
      <c r="G324" s="221">
        <v>0</v>
      </c>
      <c r="I324" s="220" t="s">
        <v>374</v>
      </c>
      <c r="K324" s="247">
        <v>4484.8999999999996</v>
      </c>
      <c r="L324" s="217">
        <f t="shared" si="28"/>
        <v>26909.399999999998</v>
      </c>
      <c r="M324" s="217">
        <v>89.55</v>
      </c>
      <c r="N324" s="117">
        <f t="shared" si="29"/>
        <v>26909.399999999998</v>
      </c>
      <c r="P324" s="17">
        <f t="shared" si="27"/>
        <v>671198.94799031282</v>
      </c>
      <c r="Q324" s="18"/>
      <c r="R324" s="240">
        <f t="shared" si="30"/>
        <v>2.4225402487498867E-4</v>
      </c>
      <c r="S324" s="223">
        <f t="shared" si="32"/>
        <v>26998.949999999997</v>
      </c>
      <c r="T324" s="157"/>
      <c r="U324" s="157"/>
      <c r="V324" s="246">
        <f t="shared" si="31"/>
        <v>698108.34799031285</v>
      </c>
    </row>
    <row r="325" spans="1:22" s="19" customFormat="1" ht="18.75" customHeight="1" x14ac:dyDescent="0.2">
      <c r="A325" s="16"/>
      <c r="B325" s="16"/>
      <c r="C325" s="20" t="s">
        <v>509</v>
      </c>
      <c r="D325" s="19" t="s">
        <v>344</v>
      </c>
      <c r="E325" s="16" t="s">
        <v>4</v>
      </c>
      <c r="F325" s="221">
        <v>6</v>
      </c>
      <c r="G325" s="221">
        <v>0</v>
      </c>
      <c r="I325" s="220" t="s">
        <v>374</v>
      </c>
      <c r="K325" s="247">
        <v>3845.7</v>
      </c>
      <c r="L325" s="217">
        <f t="shared" si="28"/>
        <v>23074.199999999997</v>
      </c>
      <c r="M325" s="217">
        <v>82.9</v>
      </c>
      <c r="N325" s="117">
        <f t="shared" si="29"/>
        <v>23074.199999999997</v>
      </c>
      <c r="P325" s="17">
        <f t="shared" si="27"/>
        <v>575689.8382532089</v>
      </c>
      <c r="Q325" s="18"/>
      <c r="R325" s="240">
        <f t="shared" si="30"/>
        <v>2.0778217965634221E-4</v>
      </c>
      <c r="S325" s="223">
        <f t="shared" si="32"/>
        <v>23157.1</v>
      </c>
      <c r="T325" s="157"/>
      <c r="U325" s="157"/>
      <c r="V325" s="246">
        <f t="shared" si="31"/>
        <v>598764.03825320886</v>
      </c>
    </row>
    <row r="326" spans="1:22" s="19" customFormat="1" ht="18.75" customHeight="1" x14ac:dyDescent="0.2">
      <c r="A326" s="16"/>
      <c r="B326" s="16"/>
      <c r="C326" s="20" t="s">
        <v>510</v>
      </c>
      <c r="D326" s="19" t="s">
        <v>345</v>
      </c>
      <c r="E326" s="16" t="s">
        <v>4</v>
      </c>
      <c r="F326" s="221">
        <v>7</v>
      </c>
      <c r="G326" s="221">
        <v>0</v>
      </c>
      <c r="I326" s="220" t="s">
        <v>374</v>
      </c>
      <c r="K326" s="247">
        <v>4709.3999999999996</v>
      </c>
      <c r="L326" s="217">
        <f t="shared" si="28"/>
        <v>32965.799999999996</v>
      </c>
      <c r="M326" s="217">
        <v>91.85</v>
      </c>
      <c r="N326" s="117">
        <f t="shared" si="29"/>
        <v>32965.799999999996</v>
      </c>
      <c r="P326" s="17">
        <f t="shared" si="27"/>
        <v>821819.36345791083</v>
      </c>
      <c r="Q326" s="18"/>
      <c r="R326" s="240">
        <f t="shared" si="30"/>
        <v>2.9661704493725378E-4</v>
      </c>
      <c r="S326" s="223">
        <f t="shared" si="32"/>
        <v>33057.649999999994</v>
      </c>
      <c r="T326" s="157"/>
      <c r="U326" s="157"/>
      <c r="V326" s="246">
        <f t="shared" si="31"/>
        <v>854785.16345791088</v>
      </c>
    </row>
    <row r="327" spans="1:22" s="19" customFormat="1" ht="18.75" customHeight="1" x14ac:dyDescent="0.2">
      <c r="A327" s="16"/>
      <c r="B327" s="16"/>
      <c r="C327" s="20" t="s">
        <v>511</v>
      </c>
      <c r="D327" s="19" t="s">
        <v>346</v>
      </c>
      <c r="E327" s="16" t="s">
        <v>4</v>
      </c>
      <c r="F327" s="221">
        <v>1</v>
      </c>
      <c r="G327" s="221">
        <v>0</v>
      </c>
      <c r="I327" s="220" t="s">
        <v>374</v>
      </c>
      <c r="K327" s="247">
        <v>6634.25</v>
      </c>
      <c r="L327" s="217">
        <f t="shared" si="28"/>
        <v>6634.25</v>
      </c>
      <c r="M327" s="217">
        <v>121.65</v>
      </c>
      <c r="N327" s="117">
        <f t="shared" si="29"/>
        <v>6634.25</v>
      </c>
      <c r="P327" s="17">
        <f t="shared" si="27"/>
        <v>167952.93790046481</v>
      </c>
      <c r="Q327" s="18"/>
      <c r="R327" s="240">
        <f t="shared" si="30"/>
        <v>6.0618800607169388E-5</v>
      </c>
      <c r="S327" s="223">
        <f t="shared" si="32"/>
        <v>6755.9</v>
      </c>
      <c r="T327" s="157"/>
      <c r="U327" s="157"/>
      <c r="V327" s="246">
        <f t="shared" si="31"/>
        <v>174587.18790046481</v>
      </c>
    </row>
    <row r="328" spans="1:22" s="19" customFormat="1" ht="18.75" customHeight="1" x14ac:dyDescent="0.2">
      <c r="A328" s="16"/>
      <c r="B328" s="16"/>
      <c r="C328" s="20" t="s">
        <v>512</v>
      </c>
      <c r="D328" s="19" t="s">
        <v>347</v>
      </c>
      <c r="E328" s="16" t="s">
        <v>4</v>
      </c>
      <c r="F328" s="221">
        <v>1</v>
      </c>
      <c r="G328" s="221">
        <v>0</v>
      </c>
      <c r="I328" s="220" t="s">
        <v>374</v>
      </c>
      <c r="K328" s="247">
        <v>4273.8999999999996</v>
      </c>
      <c r="L328" s="217">
        <f t="shared" si="28"/>
        <v>4273.8999999999996</v>
      </c>
      <c r="M328" s="217">
        <v>79.75</v>
      </c>
      <c r="N328" s="117">
        <f t="shared" si="29"/>
        <v>4273.8999999999996</v>
      </c>
      <c r="P328" s="17">
        <f t="shared" si="27"/>
        <v>108232.55348515499</v>
      </c>
      <c r="Q328" s="18"/>
      <c r="R328" s="240">
        <f t="shared" si="30"/>
        <v>3.906408343276292E-5</v>
      </c>
      <c r="S328" s="223">
        <f t="shared" si="32"/>
        <v>4353.6499999999996</v>
      </c>
      <c r="T328" s="157"/>
      <c r="U328" s="157"/>
      <c r="V328" s="246">
        <f t="shared" si="31"/>
        <v>112506.45348515498</v>
      </c>
    </row>
    <row r="329" spans="1:22" s="19" customFormat="1" ht="18.75" customHeight="1" x14ac:dyDescent="0.2">
      <c r="A329" s="16"/>
      <c r="B329" s="16"/>
      <c r="C329" s="20" t="s">
        <v>513</v>
      </c>
      <c r="D329" s="19" t="s">
        <v>348</v>
      </c>
      <c r="E329" s="16" t="s">
        <v>4</v>
      </c>
      <c r="F329" s="221">
        <v>1</v>
      </c>
      <c r="G329" s="221">
        <v>0</v>
      </c>
      <c r="I329" s="220" t="s">
        <v>374</v>
      </c>
      <c r="K329" s="247">
        <v>3663.75</v>
      </c>
      <c r="L329" s="217">
        <f t="shared" si="28"/>
        <v>3663.75</v>
      </c>
      <c r="M329" s="217">
        <v>84.5</v>
      </c>
      <c r="N329" s="117">
        <f t="shared" si="29"/>
        <v>3663.75</v>
      </c>
      <c r="P329" s="17">
        <f t="shared" si="27"/>
        <v>93182.196226323256</v>
      </c>
      <c r="Q329" s="18"/>
      <c r="R329" s="240">
        <f t="shared" si="30"/>
        <v>3.3631998605044877E-5</v>
      </c>
      <c r="S329" s="223">
        <f t="shared" si="32"/>
        <v>3748.25</v>
      </c>
      <c r="T329" s="157"/>
      <c r="U329" s="157"/>
      <c r="V329" s="246">
        <f t="shared" si="31"/>
        <v>96845.946226323256</v>
      </c>
    </row>
    <row r="330" spans="1:22" s="19" customFormat="1" ht="18.75" customHeight="1" x14ac:dyDescent="0.2">
      <c r="A330" s="16"/>
      <c r="B330" s="16"/>
      <c r="C330" s="20" t="s">
        <v>514</v>
      </c>
      <c r="D330" s="19" t="s">
        <v>349</v>
      </c>
      <c r="E330" s="16" t="s">
        <v>4</v>
      </c>
      <c r="F330" s="221">
        <v>4</v>
      </c>
      <c r="G330" s="221">
        <v>0</v>
      </c>
      <c r="I330" s="220" t="s">
        <v>374</v>
      </c>
      <c r="K330" s="247">
        <v>4949.05</v>
      </c>
      <c r="L330" s="217">
        <f t="shared" si="28"/>
        <v>19796.2</v>
      </c>
      <c r="M330" s="217">
        <v>94.35</v>
      </c>
      <c r="N330" s="117">
        <f t="shared" si="29"/>
        <v>19796.2</v>
      </c>
      <c r="P330" s="17">
        <f t="shared" si="27"/>
        <v>494482.79414379882</v>
      </c>
      <c r="Q330" s="18"/>
      <c r="R330" s="240">
        <f t="shared" si="30"/>
        <v>1.7847234038646711E-4</v>
      </c>
      <c r="S330" s="223">
        <f t="shared" si="32"/>
        <v>19890.55</v>
      </c>
      <c r="T330" s="157"/>
      <c r="U330" s="157"/>
      <c r="V330" s="246">
        <f t="shared" si="31"/>
        <v>514278.99414379883</v>
      </c>
    </row>
    <row r="331" spans="1:22" s="19" customFormat="1" ht="18.75" customHeight="1" x14ac:dyDescent="0.2">
      <c r="A331" s="16"/>
      <c r="B331" s="16"/>
      <c r="C331" s="20" t="s">
        <v>515</v>
      </c>
      <c r="D331" s="19" t="s">
        <v>350</v>
      </c>
      <c r="E331" s="16" t="s">
        <v>4</v>
      </c>
      <c r="F331" s="221">
        <v>16</v>
      </c>
      <c r="G331" s="221">
        <v>0</v>
      </c>
      <c r="I331" s="220" t="s">
        <v>374</v>
      </c>
      <c r="K331" s="247">
        <v>4273.8999999999996</v>
      </c>
      <c r="L331" s="217">
        <f t="shared" si="28"/>
        <v>68382.399999999994</v>
      </c>
      <c r="M331" s="217">
        <v>79.75</v>
      </c>
      <c r="N331" s="117">
        <f t="shared" si="29"/>
        <v>68382.399999999994</v>
      </c>
      <c r="P331" s="17">
        <f t="shared" si="27"/>
        <v>1701981.856966845</v>
      </c>
      <c r="Q331" s="18"/>
      <c r="R331" s="240">
        <f t="shared" si="30"/>
        <v>6.1429171834812858E-4</v>
      </c>
      <c r="S331" s="223">
        <f t="shared" si="32"/>
        <v>68462.149999999994</v>
      </c>
      <c r="T331" s="157"/>
      <c r="U331" s="157"/>
      <c r="V331" s="246">
        <f t="shared" si="31"/>
        <v>1770364.2569668449</v>
      </c>
    </row>
    <row r="332" spans="1:22" s="19" customFormat="1" ht="18.75" customHeight="1" x14ac:dyDescent="0.2">
      <c r="A332" s="16"/>
      <c r="B332" s="16"/>
      <c r="C332" s="20" t="s">
        <v>516</v>
      </c>
      <c r="D332" s="19" t="s">
        <v>351</v>
      </c>
      <c r="E332" s="16" t="s">
        <v>4</v>
      </c>
      <c r="F332" s="221">
        <v>1</v>
      </c>
      <c r="G332" s="221">
        <v>0</v>
      </c>
      <c r="I332" s="220" t="s">
        <v>374</v>
      </c>
      <c r="K332" s="247">
        <v>3500.7</v>
      </c>
      <c r="L332" s="217">
        <f t="shared" si="28"/>
        <v>3500.7</v>
      </c>
      <c r="M332" s="217">
        <v>81.5</v>
      </c>
      <c r="N332" s="117">
        <f t="shared" si="29"/>
        <v>3500.7</v>
      </c>
      <c r="P332" s="17">
        <f t="shared" si="27"/>
        <v>89054.162161524757</v>
      </c>
      <c r="Q332" s="18"/>
      <c r="R332" s="240">
        <f t="shared" si="30"/>
        <v>3.2142078410722805E-5</v>
      </c>
      <c r="S332" s="223">
        <f t="shared" si="32"/>
        <v>3582.2</v>
      </c>
      <c r="T332" s="157"/>
      <c r="U332" s="157"/>
      <c r="V332" s="246">
        <f t="shared" si="31"/>
        <v>92554.862161524754</v>
      </c>
    </row>
    <row r="333" spans="1:22" s="19" customFormat="1" ht="18.75" customHeight="1" x14ac:dyDescent="0.2">
      <c r="A333" s="16"/>
      <c r="B333" s="16"/>
      <c r="C333" s="20" t="s">
        <v>517</v>
      </c>
      <c r="D333" s="19" t="s">
        <v>275</v>
      </c>
      <c r="E333" s="16"/>
      <c r="F333" s="221">
        <v>1</v>
      </c>
      <c r="G333" s="221">
        <v>0</v>
      </c>
      <c r="I333" s="220" t="s">
        <v>374</v>
      </c>
      <c r="K333" s="247">
        <v>5760.15</v>
      </c>
      <c r="L333" s="217">
        <f t="shared" si="28"/>
        <v>5760.15</v>
      </c>
      <c r="M333" s="217">
        <v>111.3</v>
      </c>
      <c r="N333" s="117">
        <f t="shared" si="29"/>
        <v>5760.15</v>
      </c>
      <c r="P333" s="17">
        <f t="shared" si="27"/>
        <v>145965.34543668263</v>
      </c>
      <c r="Q333" s="18"/>
      <c r="R333" s="240">
        <f t="shared" si="30"/>
        <v>5.2682878199050422E-5</v>
      </c>
      <c r="S333" s="223">
        <f t="shared" si="32"/>
        <v>5871.45</v>
      </c>
      <c r="T333" s="157"/>
      <c r="U333" s="157"/>
      <c r="V333" s="246">
        <f t="shared" si="31"/>
        <v>151725.49543668263</v>
      </c>
    </row>
    <row r="334" spans="1:22" s="19" customFormat="1" ht="18.75" customHeight="1" x14ac:dyDescent="0.2">
      <c r="A334" s="16"/>
      <c r="B334" s="16"/>
      <c r="C334" s="20" t="s">
        <v>518</v>
      </c>
      <c r="D334" s="19" t="s">
        <v>355</v>
      </c>
      <c r="E334" s="16" t="s">
        <v>4</v>
      </c>
      <c r="F334" s="221">
        <v>5</v>
      </c>
      <c r="G334" s="221">
        <v>0</v>
      </c>
      <c r="I334" s="220" t="s">
        <v>374</v>
      </c>
      <c r="K334" s="247">
        <v>5198.8</v>
      </c>
      <c r="L334" s="217">
        <f t="shared" si="28"/>
        <v>25994</v>
      </c>
      <c r="M334" s="217">
        <v>100.8</v>
      </c>
      <c r="N334" s="117">
        <f t="shared" si="29"/>
        <v>25994</v>
      </c>
      <c r="P334" s="17">
        <f t="shared" si="27"/>
        <v>648721.6098410351</v>
      </c>
      <c r="Q334" s="18"/>
      <c r="R334" s="240">
        <f t="shared" si="30"/>
        <v>2.3414133987832321E-4</v>
      </c>
      <c r="S334" s="223">
        <f t="shared" si="32"/>
        <v>26094.799999999999</v>
      </c>
      <c r="T334" s="157"/>
      <c r="U334" s="157"/>
      <c r="V334" s="246">
        <f t="shared" si="31"/>
        <v>674715.6098410351</v>
      </c>
    </row>
    <row r="335" spans="1:22" s="19" customFormat="1" ht="18.75" customHeight="1" x14ac:dyDescent="0.2">
      <c r="A335" s="16"/>
      <c r="B335" s="16"/>
      <c r="C335" s="20" t="s">
        <v>519</v>
      </c>
      <c r="D335" s="19" t="s">
        <v>356</v>
      </c>
      <c r="E335" s="16" t="s">
        <v>4</v>
      </c>
      <c r="F335" s="221">
        <v>1</v>
      </c>
      <c r="G335" s="221">
        <v>0</v>
      </c>
      <c r="I335" s="220" t="s">
        <v>374</v>
      </c>
      <c r="K335" s="247">
        <v>4048.2</v>
      </c>
      <c r="L335" s="217">
        <f t="shared" si="28"/>
        <v>4048.2</v>
      </c>
      <c r="M335" s="217">
        <v>82</v>
      </c>
      <c r="N335" s="117">
        <f t="shared" si="29"/>
        <v>4048.2</v>
      </c>
      <c r="P335" s="17">
        <f t="shared" si="27"/>
        <v>102677.54468190763</v>
      </c>
      <c r="Q335" s="18"/>
      <c r="R335" s="240">
        <f t="shared" si="30"/>
        <v>3.7059129097193715E-5</v>
      </c>
      <c r="S335" s="223">
        <f t="shared" si="32"/>
        <v>4130.2</v>
      </c>
      <c r="T335" s="157"/>
      <c r="U335" s="157"/>
      <c r="V335" s="246">
        <f t="shared" si="31"/>
        <v>106725.74468190763</v>
      </c>
    </row>
    <row r="336" spans="1:22" s="19" customFormat="1" ht="18.75" customHeight="1" x14ac:dyDescent="0.2">
      <c r="A336" s="16"/>
      <c r="B336" s="16"/>
      <c r="C336" s="20" t="s">
        <v>520</v>
      </c>
      <c r="D336" s="19" t="s">
        <v>357</v>
      </c>
      <c r="E336" s="16" t="s">
        <v>4</v>
      </c>
      <c r="F336" s="221">
        <v>4</v>
      </c>
      <c r="G336" s="221">
        <v>0</v>
      </c>
      <c r="I336" s="220" t="s">
        <v>374</v>
      </c>
      <c r="K336" s="247">
        <v>3845.7</v>
      </c>
      <c r="L336" s="217">
        <f t="shared" si="28"/>
        <v>15382.8</v>
      </c>
      <c r="M336" s="217">
        <v>82.9</v>
      </c>
      <c r="N336" s="117">
        <f t="shared" si="29"/>
        <v>15382.8</v>
      </c>
      <c r="P336" s="17">
        <f t="shared" ref="P336:P399" si="34">(+$U$11-$N$472)*R336</f>
        <v>384480.19533847732</v>
      </c>
      <c r="Q336" s="18"/>
      <c r="R336" s="240">
        <f t="shared" si="30"/>
        <v>1.387693992732722E-4</v>
      </c>
      <c r="S336" s="223">
        <f t="shared" si="32"/>
        <v>15465.699999999999</v>
      </c>
      <c r="T336" s="157"/>
      <c r="U336" s="157"/>
      <c r="V336" s="246">
        <f t="shared" si="31"/>
        <v>399862.99533847731</v>
      </c>
    </row>
    <row r="337" spans="1:22" s="19" customFormat="1" ht="18.75" customHeight="1" x14ac:dyDescent="0.2">
      <c r="A337" s="16"/>
      <c r="B337" s="16"/>
      <c r="C337" s="20" t="s">
        <v>521</v>
      </c>
      <c r="D337" s="19" t="s">
        <v>358</v>
      </c>
      <c r="E337" s="16" t="s">
        <v>4</v>
      </c>
      <c r="F337" s="221">
        <v>38</v>
      </c>
      <c r="G337" s="221">
        <v>0</v>
      </c>
      <c r="I337" s="220" t="s">
        <v>374</v>
      </c>
      <c r="K337" s="247">
        <v>3663.75</v>
      </c>
      <c r="L337" s="217">
        <f t="shared" ref="L337:L400" si="35">+K337*F337</f>
        <v>139222.5</v>
      </c>
      <c r="M337" s="217">
        <v>83.7</v>
      </c>
      <c r="N337" s="117">
        <f t="shared" ref="N337:N400" si="36">+L337</f>
        <v>139222.5</v>
      </c>
      <c r="P337" s="17">
        <f t="shared" si="34"/>
        <v>3463178.1935419021</v>
      </c>
      <c r="Q337" s="18"/>
      <c r="R337" s="240">
        <f t="shared" ref="R337:R400" si="37">+S337/$S$472</f>
        <v>1.2499555590139674E-3</v>
      </c>
      <c r="S337" s="223">
        <f t="shared" si="32"/>
        <v>139306.20000000001</v>
      </c>
      <c r="T337" s="157"/>
      <c r="U337" s="157"/>
      <c r="V337" s="246">
        <f t="shared" ref="V337:V400" si="38">+N337+P337</f>
        <v>3602400.6935419021</v>
      </c>
    </row>
    <row r="338" spans="1:22" s="19" customFormat="1" ht="18.75" customHeight="1" x14ac:dyDescent="0.2">
      <c r="A338" s="16"/>
      <c r="B338" s="16"/>
      <c r="C338" s="20" t="s">
        <v>522</v>
      </c>
      <c r="D338" s="19" t="s">
        <v>359</v>
      </c>
      <c r="E338" s="16" t="s">
        <v>4</v>
      </c>
      <c r="F338" s="221">
        <v>17</v>
      </c>
      <c r="G338" s="221">
        <v>0</v>
      </c>
      <c r="I338" s="220" t="s">
        <v>374</v>
      </c>
      <c r="K338" s="247">
        <v>4048.2</v>
      </c>
      <c r="L338" s="217">
        <f t="shared" si="35"/>
        <v>68819.399999999994</v>
      </c>
      <c r="M338" s="217">
        <v>82</v>
      </c>
      <c r="N338" s="117">
        <f t="shared" si="36"/>
        <v>68819.399999999994</v>
      </c>
      <c r="P338" s="17">
        <f t="shared" si="34"/>
        <v>1712901.69414217</v>
      </c>
      <c r="Q338" s="18"/>
      <c r="R338" s="240">
        <f t="shared" si="37"/>
        <v>6.1823298570950146E-4</v>
      </c>
      <c r="S338" s="223">
        <f t="shared" ref="S338:S401" si="39">+L338+M338</f>
        <v>68901.399999999994</v>
      </c>
      <c r="T338" s="157"/>
      <c r="U338" s="157"/>
      <c r="V338" s="246">
        <f t="shared" si="38"/>
        <v>1781721.0941421699</v>
      </c>
    </row>
    <row r="339" spans="1:22" s="19" customFormat="1" ht="18.75" customHeight="1" x14ac:dyDescent="0.2">
      <c r="A339" s="16"/>
      <c r="B339" s="16"/>
      <c r="C339" s="20" t="s">
        <v>523</v>
      </c>
      <c r="D339" s="19" t="s">
        <v>360</v>
      </c>
      <c r="E339" s="16" t="s">
        <v>4</v>
      </c>
      <c r="F339" s="221">
        <v>9</v>
      </c>
      <c r="G339" s="221">
        <v>0</v>
      </c>
      <c r="I339" s="220" t="s">
        <v>374</v>
      </c>
      <c r="K339" s="247">
        <v>3845.7</v>
      </c>
      <c r="L339" s="217">
        <f t="shared" si="35"/>
        <v>34611.299999999996</v>
      </c>
      <c r="M339" s="217">
        <v>82.9</v>
      </c>
      <c r="N339" s="117">
        <f t="shared" si="36"/>
        <v>34611.299999999996</v>
      </c>
      <c r="P339" s="17">
        <f t="shared" si="34"/>
        <v>862504.30262530618</v>
      </c>
      <c r="Q339" s="18"/>
      <c r="R339" s="240">
        <f t="shared" si="37"/>
        <v>3.1130135023094721E-4</v>
      </c>
      <c r="S339" s="223">
        <f t="shared" si="39"/>
        <v>34694.199999999997</v>
      </c>
      <c r="T339" s="157"/>
      <c r="U339" s="157"/>
      <c r="V339" s="246">
        <f t="shared" si="38"/>
        <v>897115.60262530623</v>
      </c>
    </row>
    <row r="340" spans="1:22" s="19" customFormat="1" ht="18.75" customHeight="1" x14ac:dyDescent="0.2">
      <c r="A340" s="16"/>
      <c r="B340" s="16"/>
      <c r="C340" s="20" t="s">
        <v>524</v>
      </c>
      <c r="D340" s="19" t="s">
        <v>350</v>
      </c>
      <c r="E340" s="16" t="s">
        <v>4</v>
      </c>
      <c r="F340" s="221">
        <v>2</v>
      </c>
      <c r="G340" s="221">
        <v>0</v>
      </c>
      <c r="I340" s="220" t="s">
        <v>374</v>
      </c>
      <c r="K340" s="247">
        <v>4273.8999999999996</v>
      </c>
      <c r="L340" s="217">
        <f t="shared" si="35"/>
        <v>8547.7999999999993</v>
      </c>
      <c r="M340" s="217">
        <v>79.75</v>
      </c>
      <c r="N340" s="117">
        <f t="shared" si="36"/>
        <v>8547.7999999999993</v>
      </c>
      <c r="P340" s="17">
        <f t="shared" si="34"/>
        <v>214482.50705060095</v>
      </c>
      <c r="Q340" s="18"/>
      <c r="R340" s="240">
        <f t="shared" si="37"/>
        <v>7.7412592427120622E-5</v>
      </c>
      <c r="S340" s="223">
        <f t="shared" si="39"/>
        <v>8627.5499999999993</v>
      </c>
      <c r="T340" s="157"/>
      <c r="U340" s="157"/>
      <c r="V340" s="246">
        <f t="shared" si="38"/>
        <v>223030.30705060094</v>
      </c>
    </row>
    <row r="341" spans="1:22" s="19" customFormat="1" ht="18.75" customHeight="1" x14ac:dyDescent="0.2">
      <c r="A341" s="16"/>
      <c r="B341" s="16"/>
      <c r="C341" s="20" t="s">
        <v>525</v>
      </c>
      <c r="D341" s="19" t="s">
        <v>271</v>
      </c>
      <c r="E341" s="16" t="s">
        <v>4</v>
      </c>
      <c r="F341" s="221">
        <v>104</v>
      </c>
      <c r="G341" s="221">
        <v>0</v>
      </c>
      <c r="I341" s="220" t="s">
        <v>374</v>
      </c>
      <c r="K341" s="247">
        <v>3354.35</v>
      </c>
      <c r="L341" s="217">
        <f t="shared" si="35"/>
        <v>348852.39999999997</v>
      </c>
      <c r="M341" s="217">
        <v>1410.03</v>
      </c>
      <c r="N341" s="117">
        <f t="shared" si="36"/>
        <v>348852.39999999997</v>
      </c>
      <c r="P341" s="17">
        <f t="shared" si="34"/>
        <v>8707589.5372423958</v>
      </c>
      <c r="Q341" s="18"/>
      <c r="R341" s="240">
        <f t="shared" si="37"/>
        <v>3.1428067917453821E-3</v>
      </c>
      <c r="S341" s="223">
        <f t="shared" si="39"/>
        <v>350262.43</v>
      </c>
      <c r="T341" s="157"/>
      <c r="U341" s="157"/>
      <c r="V341" s="246">
        <f t="shared" si="38"/>
        <v>9056441.9372423962</v>
      </c>
    </row>
    <row r="342" spans="1:22" s="19" customFormat="1" ht="18.75" customHeight="1" x14ac:dyDescent="0.2">
      <c r="A342" s="16"/>
      <c r="B342" s="16"/>
      <c r="C342" s="20" t="s">
        <v>526</v>
      </c>
      <c r="D342" s="19" t="s">
        <v>272</v>
      </c>
      <c r="E342" s="16" t="s">
        <v>4</v>
      </c>
      <c r="F342" s="221">
        <v>712</v>
      </c>
      <c r="G342" s="221">
        <v>0</v>
      </c>
      <c r="I342" s="220" t="s">
        <v>374</v>
      </c>
      <c r="K342" s="247">
        <v>3914.1</v>
      </c>
      <c r="L342" s="217">
        <f t="shared" si="35"/>
        <v>2786839.1999999997</v>
      </c>
      <c r="M342" s="217">
        <v>1410.03</v>
      </c>
      <c r="N342" s="117">
        <f t="shared" si="36"/>
        <v>2786839.1999999997</v>
      </c>
      <c r="P342" s="17">
        <f t="shared" si="34"/>
        <v>69316397.486228153</v>
      </c>
      <c r="Q342" s="18"/>
      <c r="R342" s="240">
        <f t="shared" si="37"/>
        <v>2.5018180274495413E-2</v>
      </c>
      <c r="S342" s="223">
        <f t="shared" si="39"/>
        <v>2788249.2299999995</v>
      </c>
      <c r="T342" s="157"/>
      <c r="U342" s="157"/>
      <c r="V342" s="246">
        <f t="shared" si="38"/>
        <v>72103236.686228156</v>
      </c>
    </row>
    <row r="343" spans="1:22" s="19" customFormat="1" ht="18.75" customHeight="1" x14ac:dyDescent="0.2">
      <c r="A343" s="16"/>
      <c r="B343" s="16"/>
      <c r="C343" s="20" t="s">
        <v>527</v>
      </c>
      <c r="D343" s="19" t="s">
        <v>273</v>
      </c>
      <c r="E343" s="16" t="s">
        <v>4</v>
      </c>
      <c r="F343" s="221">
        <v>47</v>
      </c>
      <c r="G343" s="221">
        <v>0</v>
      </c>
      <c r="I343" s="220" t="s">
        <v>374</v>
      </c>
      <c r="K343" s="247">
        <v>4980.3</v>
      </c>
      <c r="L343" s="217">
        <f t="shared" si="35"/>
        <v>234074.1</v>
      </c>
      <c r="M343" s="217">
        <v>1410.03</v>
      </c>
      <c r="N343" s="117">
        <f t="shared" si="36"/>
        <v>234074.1</v>
      </c>
      <c r="P343" s="17">
        <f t="shared" si="34"/>
        <v>5854179.5264043268</v>
      </c>
      <c r="Q343" s="18"/>
      <c r="R343" s="240">
        <f t="shared" si="37"/>
        <v>2.1129332172801192E-3</v>
      </c>
      <c r="S343" s="223">
        <f t="shared" si="39"/>
        <v>235484.13</v>
      </c>
      <c r="T343" s="157"/>
      <c r="U343" s="157"/>
      <c r="V343" s="246">
        <f t="shared" si="38"/>
        <v>6088253.6264043264</v>
      </c>
    </row>
    <row r="344" spans="1:22" s="19" customFormat="1" ht="18.75" customHeight="1" x14ac:dyDescent="0.2">
      <c r="A344" s="16"/>
      <c r="B344" s="16"/>
      <c r="C344" s="20" t="s">
        <v>528</v>
      </c>
      <c r="D344" s="19" t="s">
        <v>274</v>
      </c>
      <c r="E344" s="16" t="s">
        <v>4</v>
      </c>
      <c r="F344" s="221">
        <v>83</v>
      </c>
      <c r="G344" s="221">
        <v>0</v>
      </c>
      <c r="I344" s="220" t="s">
        <v>374</v>
      </c>
      <c r="K344" s="247">
        <v>5094.95</v>
      </c>
      <c r="L344" s="217">
        <f t="shared" si="35"/>
        <v>422880.85</v>
      </c>
      <c r="M344" s="217">
        <v>1382.63</v>
      </c>
      <c r="N344" s="117">
        <f t="shared" si="36"/>
        <v>422880.85</v>
      </c>
      <c r="P344" s="17">
        <f t="shared" si="34"/>
        <v>10547269.48443214</v>
      </c>
      <c r="Q344" s="18"/>
      <c r="R344" s="240">
        <f t="shared" si="37"/>
        <v>3.8067975101798131E-3</v>
      </c>
      <c r="S344" s="223">
        <f t="shared" si="39"/>
        <v>424263.48</v>
      </c>
      <c r="T344" s="157"/>
      <c r="U344" s="157"/>
      <c r="V344" s="246">
        <f t="shared" si="38"/>
        <v>10970150.33443214</v>
      </c>
    </row>
    <row r="345" spans="1:22" s="19" customFormat="1" ht="18.75" customHeight="1" x14ac:dyDescent="0.2">
      <c r="A345" s="16"/>
      <c r="B345" s="16"/>
      <c r="C345" s="20" t="s">
        <v>529</v>
      </c>
      <c r="D345" s="19" t="s">
        <v>275</v>
      </c>
      <c r="E345" s="16" t="s">
        <v>4</v>
      </c>
      <c r="F345" s="221">
        <v>24</v>
      </c>
      <c r="G345" s="221">
        <v>0</v>
      </c>
      <c r="I345" s="220" t="s">
        <v>374</v>
      </c>
      <c r="K345" s="247">
        <v>5228.8999999999996</v>
      </c>
      <c r="L345" s="217">
        <f t="shared" si="35"/>
        <v>125493.59999999999</v>
      </c>
      <c r="M345" s="217">
        <v>1382.63</v>
      </c>
      <c r="N345" s="117">
        <f t="shared" si="36"/>
        <v>125493.59999999999</v>
      </c>
      <c r="P345" s="17">
        <f t="shared" si="34"/>
        <v>3154166.8139308002</v>
      </c>
      <c r="Q345" s="18"/>
      <c r="R345" s="240">
        <f t="shared" si="37"/>
        <v>1.1384249157269E-3</v>
      </c>
      <c r="S345" s="223">
        <f t="shared" si="39"/>
        <v>126876.23</v>
      </c>
      <c r="T345" s="157"/>
      <c r="U345" s="157"/>
      <c r="V345" s="246">
        <f t="shared" si="38"/>
        <v>3279660.4139308003</v>
      </c>
    </row>
    <row r="346" spans="1:22" s="19" customFormat="1" ht="18.75" customHeight="1" x14ac:dyDescent="0.2">
      <c r="A346" s="16"/>
      <c r="B346" s="16"/>
      <c r="C346" s="20" t="s">
        <v>530</v>
      </c>
      <c r="D346" s="19" t="s">
        <v>276</v>
      </c>
      <c r="E346" s="16" t="s">
        <v>4</v>
      </c>
      <c r="F346" s="221">
        <v>20</v>
      </c>
      <c r="G346" s="221">
        <v>0</v>
      </c>
      <c r="I346" s="220" t="s">
        <v>374</v>
      </c>
      <c r="K346" s="247">
        <v>3675.5</v>
      </c>
      <c r="L346" s="217">
        <f t="shared" si="35"/>
        <v>73510</v>
      </c>
      <c r="M346" s="217">
        <v>1410.03</v>
      </c>
      <c r="N346" s="117">
        <f t="shared" si="36"/>
        <v>73510</v>
      </c>
      <c r="P346" s="17">
        <f t="shared" si="34"/>
        <v>1862525.9619134329</v>
      </c>
      <c r="Q346" s="18"/>
      <c r="R346" s="240">
        <f t="shared" si="37"/>
        <v>6.7223646887211907E-4</v>
      </c>
      <c r="S346" s="223">
        <f t="shared" si="39"/>
        <v>74920.03</v>
      </c>
      <c r="T346" s="157"/>
      <c r="U346" s="157"/>
      <c r="V346" s="246">
        <f t="shared" si="38"/>
        <v>1936035.9619134329</v>
      </c>
    </row>
    <row r="347" spans="1:22" s="19" customFormat="1" ht="18.75" customHeight="1" x14ac:dyDescent="0.2">
      <c r="A347" s="16"/>
      <c r="B347" s="16"/>
      <c r="C347" s="20" t="s">
        <v>531</v>
      </c>
      <c r="D347" s="19" t="s">
        <v>277</v>
      </c>
      <c r="E347" s="16" t="s">
        <v>4</v>
      </c>
      <c r="F347" s="221">
        <v>1</v>
      </c>
      <c r="G347" s="221">
        <v>0</v>
      </c>
      <c r="I347" s="220" t="s">
        <v>374</v>
      </c>
      <c r="K347" s="247">
        <v>4250.2</v>
      </c>
      <c r="L347" s="217">
        <f t="shared" si="35"/>
        <v>4250.2</v>
      </c>
      <c r="M347" s="217">
        <v>1410.03</v>
      </c>
      <c r="N347" s="117">
        <f t="shared" si="36"/>
        <v>4250.2</v>
      </c>
      <c r="P347" s="17">
        <f t="shared" si="34"/>
        <v>140714.37672143578</v>
      </c>
      <c r="Q347" s="18"/>
      <c r="R347" s="240">
        <f t="shared" si="37"/>
        <v>5.0787660231903728E-5</v>
      </c>
      <c r="S347" s="223">
        <f t="shared" si="39"/>
        <v>5660.23</v>
      </c>
      <c r="T347" s="157"/>
      <c r="U347" s="157"/>
      <c r="V347" s="246">
        <f t="shared" si="38"/>
        <v>144964.57672143579</v>
      </c>
    </row>
    <row r="348" spans="1:22" s="19" customFormat="1" ht="18.75" customHeight="1" x14ac:dyDescent="0.2">
      <c r="A348" s="16"/>
      <c r="B348" s="16"/>
      <c r="C348" s="20" t="s">
        <v>532</v>
      </c>
      <c r="D348" s="19" t="s">
        <v>278</v>
      </c>
      <c r="E348" s="16" t="s">
        <v>4</v>
      </c>
      <c r="F348" s="221">
        <v>179</v>
      </c>
      <c r="G348" s="221">
        <v>0</v>
      </c>
      <c r="I348" s="220" t="s">
        <v>374</v>
      </c>
      <c r="K348" s="247">
        <v>3752.45</v>
      </c>
      <c r="L348" s="217">
        <f t="shared" si="35"/>
        <v>671688.54999999993</v>
      </c>
      <c r="M348" s="217">
        <v>1410.03</v>
      </c>
      <c r="N348" s="117">
        <f t="shared" si="36"/>
        <v>671688.54999999993</v>
      </c>
      <c r="P348" s="17">
        <f t="shared" si="34"/>
        <v>16733356.622749159</v>
      </c>
      <c r="Q348" s="18"/>
      <c r="R348" s="240">
        <f t="shared" si="37"/>
        <v>6.039525246079553E-3</v>
      </c>
      <c r="S348" s="223">
        <f t="shared" si="39"/>
        <v>673098.58</v>
      </c>
      <c r="T348" s="157"/>
      <c r="U348" s="157"/>
      <c r="V348" s="246">
        <f t="shared" si="38"/>
        <v>17405045.172749158</v>
      </c>
    </row>
    <row r="349" spans="1:22" s="19" customFormat="1" ht="18.75" customHeight="1" x14ac:dyDescent="0.2">
      <c r="A349" s="16"/>
      <c r="B349" s="16"/>
      <c r="C349" s="20" t="s">
        <v>533</v>
      </c>
      <c r="D349" s="19" t="s">
        <v>279</v>
      </c>
      <c r="E349" s="16" t="s">
        <v>4</v>
      </c>
      <c r="F349" s="221">
        <v>3</v>
      </c>
      <c r="G349" s="221">
        <v>0</v>
      </c>
      <c r="I349" s="220" t="s">
        <v>374</v>
      </c>
      <c r="K349" s="247">
        <v>3672.95</v>
      </c>
      <c r="L349" s="217">
        <f t="shared" si="35"/>
        <v>11018.849999999999</v>
      </c>
      <c r="M349" s="217">
        <v>1410.03</v>
      </c>
      <c r="N349" s="117">
        <f t="shared" si="36"/>
        <v>11018.849999999999</v>
      </c>
      <c r="P349" s="17">
        <f t="shared" si="34"/>
        <v>308984.28200718324</v>
      </c>
      <c r="Q349" s="18"/>
      <c r="R349" s="240">
        <f t="shared" si="37"/>
        <v>1.1152086302201564E-4</v>
      </c>
      <c r="S349" s="223">
        <f t="shared" si="39"/>
        <v>12428.88</v>
      </c>
      <c r="T349" s="157"/>
      <c r="U349" s="157"/>
      <c r="V349" s="246">
        <f t="shared" si="38"/>
        <v>320003.13200718322</v>
      </c>
    </row>
    <row r="350" spans="1:22" s="19" customFormat="1" ht="18.75" customHeight="1" x14ac:dyDescent="0.2">
      <c r="A350" s="16"/>
      <c r="B350" s="16"/>
      <c r="C350" s="20" t="s">
        <v>534</v>
      </c>
      <c r="D350" s="19" t="s">
        <v>280</v>
      </c>
      <c r="E350" s="16" t="s">
        <v>4</v>
      </c>
      <c r="F350" s="221">
        <v>15</v>
      </c>
      <c r="G350" s="221">
        <v>0</v>
      </c>
      <c r="I350" s="220" t="s">
        <v>374</v>
      </c>
      <c r="K350" s="247">
        <v>5720.9</v>
      </c>
      <c r="L350" s="217">
        <f t="shared" si="35"/>
        <v>85813.5</v>
      </c>
      <c r="M350" s="217">
        <v>1487.78</v>
      </c>
      <c r="N350" s="117">
        <f t="shared" si="36"/>
        <v>85813.5</v>
      </c>
      <c r="P350" s="17">
        <f t="shared" si="34"/>
        <v>2170326.1532099489</v>
      </c>
      <c r="Q350" s="18"/>
      <c r="R350" s="240">
        <f t="shared" si="37"/>
        <v>7.8332996122954239E-4</v>
      </c>
      <c r="S350" s="223">
        <f t="shared" si="39"/>
        <v>87301.28</v>
      </c>
      <c r="T350" s="157"/>
      <c r="U350" s="157"/>
      <c r="V350" s="246">
        <f t="shared" si="38"/>
        <v>2256139.6532099489</v>
      </c>
    </row>
    <row r="351" spans="1:22" s="19" customFormat="1" ht="18.75" customHeight="1" x14ac:dyDescent="0.2">
      <c r="A351" s="16"/>
      <c r="B351" s="16"/>
      <c r="C351" s="20" t="s">
        <v>535</v>
      </c>
      <c r="D351" s="19" t="s">
        <v>281</v>
      </c>
      <c r="E351" s="16" t="s">
        <v>4</v>
      </c>
      <c r="F351" s="221">
        <v>5</v>
      </c>
      <c r="G351" s="221">
        <v>0</v>
      </c>
      <c r="I351" s="220" t="s">
        <v>374</v>
      </c>
      <c r="K351" s="247">
        <v>5720.9</v>
      </c>
      <c r="L351" s="217">
        <f t="shared" si="35"/>
        <v>28604.5</v>
      </c>
      <c r="M351" s="217">
        <v>1487.78</v>
      </c>
      <c r="N351" s="117">
        <f t="shared" si="36"/>
        <v>28604.5</v>
      </c>
      <c r="P351" s="17">
        <f t="shared" si="34"/>
        <v>748099.71049355366</v>
      </c>
      <c r="Q351" s="18"/>
      <c r="R351" s="240">
        <f t="shared" si="37"/>
        <v>2.7000960954648694E-4</v>
      </c>
      <c r="S351" s="223">
        <f t="shared" si="39"/>
        <v>30092.28</v>
      </c>
      <c r="T351" s="157"/>
      <c r="U351" s="157"/>
      <c r="V351" s="246">
        <f t="shared" si="38"/>
        <v>776704.21049355366</v>
      </c>
    </row>
    <row r="352" spans="1:22" s="19" customFormat="1" ht="18.75" customHeight="1" x14ac:dyDescent="0.2">
      <c r="A352" s="16"/>
      <c r="B352" s="16"/>
      <c r="C352" s="20" t="s">
        <v>536</v>
      </c>
      <c r="D352" s="19" t="s">
        <v>282</v>
      </c>
      <c r="E352" s="16" t="s">
        <v>4</v>
      </c>
      <c r="F352" s="221">
        <v>24</v>
      </c>
      <c r="G352" s="221">
        <v>0</v>
      </c>
      <c r="I352" s="220" t="s">
        <v>374</v>
      </c>
      <c r="K352" s="247">
        <v>3354.35</v>
      </c>
      <c r="L352" s="217">
        <f t="shared" si="35"/>
        <v>80504.399999999994</v>
      </c>
      <c r="M352" s="217">
        <v>1410.03</v>
      </c>
      <c r="N352" s="117">
        <f t="shared" si="36"/>
        <v>80504.399999999994</v>
      </c>
      <c r="P352" s="17">
        <f t="shared" si="34"/>
        <v>2036408.0544327137</v>
      </c>
      <c r="Q352" s="18"/>
      <c r="R352" s="240">
        <f t="shared" si="37"/>
        <v>7.3499526325433088E-4</v>
      </c>
      <c r="S352" s="223">
        <f t="shared" si="39"/>
        <v>81914.429999999993</v>
      </c>
      <c r="T352" s="157"/>
      <c r="U352" s="157"/>
      <c r="V352" s="246">
        <f t="shared" si="38"/>
        <v>2116912.4544327138</v>
      </c>
    </row>
    <row r="353" spans="1:22" s="19" customFormat="1" ht="18.75" customHeight="1" x14ac:dyDescent="0.2">
      <c r="A353" s="16"/>
      <c r="B353" s="16"/>
      <c r="C353" s="20" t="s">
        <v>537</v>
      </c>
      <c r="D353" s="19" t="s">
        <v>283</v>
      </c>
      <c r="E353" s="16" t="s">
        <v>4</v>
      </c>
      <c r="F353" s="221">
        <v>302</v>
      </c>
      <c r="G353" s="221">
        <v>0</v>
      </c>
      <c r="I353" s="220" t="s">
        <v>374</v>
      </c>
      <c r="K353" s="247">
        <v>3672.95</v>
      </c>
      <c r="L353" s="217">
        <f t="shared" si="35"/>
        <v>1109230.8999999999</v>
      </c>
      <c r="M353" s="217">
        <v>1410.03</v>
      </c>
      <c r="N353" s="117">
        <f t="shared" si="36"/>
        <v>1109230.8999999999</v>
      </c>
      <c r="P353" s="17">
        <f t="shared" si="34"/>
        <v>27610741.299605452</v>
      </c>
      <c r="Q353" s="18"/>
      <c r="R353" s="240">
        <f t="shared" si="37"/>
        <v>9.9654703417503473E-3</v>
      </c>
      <c r="S353" s="223">
        <f t="shared" si="39"/>
        <v>1110640.93</v>
      </c>
      <c r="T353" s="157"/>
      <c r="U353" s="157"/>
      <c r="V353" s="246">
        <f t="shared" si="38"/>
        <v>28719972.19960545</v>
      </c>
    </row>
    <row r="354" spans="1:22" s="19" customFormat="1" ht="18.75" customHeight="1" x14ac:dyDescent="0.2">
      <c r="A354" s="16"/>
      <c r="B354" s="16"/>
      <c r="C354" s="20" t="s">
        <v>538</v>
      </c>
      <c r="D354" s="19" t="s">
        <v>284</v>
      </c>
      <c r="E354" s="16" t="s">
        <v>4</v>
      </c>
      <c r="F354" s="221">
        <v>837</v>
      </c>
      <c r="G354" s="221">
        <v>0</v>
      </c>
      <c r="I354" s="220" t="s">
        <v>374</v>
      </c>
      <c r="K354" s="247">
        <v>3672.95</v>
      </c>
      <c r="L354" s="217">
        <f t="shared" si="35"/>
        <v>3074259.15</v>
      </c>
      <c r="M354" s="217">
        <v>1410.03</v>
      </c>
      <c r="N354" s="117">
        <f t="shared" si="36"/>
        <v>3074259.15</v>
      </c>
      <c r="P354" s="17">
        <f t="shared" si="34"/>
        <v>76461711.21403715</v>
      </c>
      <c r="Q354" s="18"/>
      <c r="R354" s="240">
        <f t="shared" si="37"/>
        <v>2.7597119074592013E-2</v>
      </c>
      <c r="S354" s="223">
        <f t="shared" si="39"/>
        <v>3075669.1799999997</v>
      </c>
      <c r="T354" s="157"/>
      <c r="U354" s="157"/>
      <c r="V354" s="246">
        <f t="shared" si="38"/>
        <v>79535970.364037156</v>
      </c>
    </row>
    <row r="355" spans="1:22" s="19" customFormat="1" ht="18.75" customHeight="1" x14ac:dyDescent="0.2">
      <c r="A355" s="16"/>
      <c r="B355" s="16"/>
      <c r="C355" s="20" t="s">
        <v>539</v>
      </c>
      <c r="D355" s="19" t="s">
        <v>285</v>
      </c>
      <c r="E355" s="16" t="s">
        <v>4</v>
      </c>
      <c r="F355" s="221">
        <v>2</v>
      </c>
      <c r="G355" s="221">
        <v>0</v>
      </c>
      <c r="I355" s="220" t="s">
        <v>374</v>
      </c>
      <c r="K355" s="247">
        <v>3354.35</v>
      </c>
      <c r="L355" s="217">
        <f t="shared" si="35"/>
        <v>6708.7</v>
      </c>
      <c r="M355" s="217">
        <v>1410.03</v>
      </c>
      <c r="N355" s="117">
        <f t="shared" si="36"/>
        <v>6708.7</v>
      </c>
      <c r="P355" s="17">
        <f t="shared" si="34"/>
        <v>201833.14666005134</v>
      </c>
      <c r="Q355" s="18"/>
      <c r="R355" s="240">
        <f t="shared" si="37"/>
        <v>7.2847092919291933E-5</v>
      </c>
      <c r="S355" s="223">
        <f t="shared" si="39"/>
        <v>8118.73</v>
      </c>
      <c r="T355" s="157"/>
      <c r="U355" s="157"/>
      <c r="V355" s="246">
        <f t="shared" si="38"/>
        <v>208541.84666005135</v>
      </c>
    </row>
    <row r="356" spans="1:22" s="19" customFormat="1" ht="18.75" customHeight="1" x14ac:dyDescent="0.2">
      <c r="A356" s="16"/>
      <c r="B356" s="16"/>
      <c r="C356" s="20" t="s">
        <v>540</v>
      </c>
      <c r="D356" s="19" t="s">
        <v>286</v>
      </c>
      <c r="E356" s="16" t="s">
        <v>4</v>
      </c>
      <c r="F356" s="221">
        <v>31</v>
      </c>
      <c r="G356" s="221">
        <v>0</v>
      </c>
      <c r="I356" s="220" t="s">
        <v>374</v>
      </c>
      <c r="K356" s="247">
        <v>3443</v>
      </c>
      <c r="L356" s="217">
        <f t="shared" si="35"/>
        <v>106733</v>
      </c>
      <c r="M356" s="217">
        <v>1410.03</v>
      </c>
      <c r="N356" s="117">
        <f t="shared" si="36"/>
        <v>106733</v>
      </c>
      <c r="P356" s="17">
        <f t="shared" si="34"/>
        <v>2688455.957305186</v>
      </c>
      <c r="Q356" s="18"/>
      <c r="R356" s="240">
        <f t="shared" si="37"/>
        <v>9.7033715309953342E-4</v>
      </c>
      <c r="S356" s="223">
        <f t="shared" si="39"/>
        <v>108143.03</v>
      </c>
      <c r="T356" s="157"/>
      <c r="U356" s="157"/>
      <c r="V356" s="246">
        <f t="shared" si="38"/>
        <v>2795188.957305186</v>
      </c>
    </row>
    <row r="357" spans="1:22" s="19" customFormat="1" ht="18.75" customHeight="1" x14ac:dyDescent="0.2">
      <c r="A357" s="16"/>
      <c r="B357" s="16"/>
      <c r="C357" s="20" t="s">
        <v>541</v>
      </c>
      <c r="D357" s="19" t="s">
        <v>287</v>
      </c>
      <c r="E357" s="16" t="s">
        <v>4</v>
      </c>
      <c r="F357" s="221">
        <v>25</v>
      </c>
      <c r="G357" s="221">
        <v>0</v>
      </c>
      <c r="I357" s="220" t="s">
        <v>374</v>
      </c>
      <c r="K357" s="247">
        <v>3640</v>
      </c>
      <c r="L357" s="217">
        <f t="shared" si="35"/>
        <v>91000</v>
      </c>
      <c r="M357" s="217">
        <v>1410.03</v>
      </c>
      <c r="N357" s="117">
        <f t="shared" si="36"/>
        <v>91000</v>
      </c>
      <c r="P357" s="17">
        <f t="shared" si="34"/>
        <v>2297330.6339599597</v>
      </c>
      <c r="Q357" s="18"/>
      <c r="R357" s="240">
        <f t="shared" si="37"/>
        <v>8.2916934570857206E-4</v>
      </c>
      <c r="S357" s="223">
        <f t="shared" si="39"/>
        <v>92410.03</v>
      </c>
      <c r="T357" s="157"/>
      <c r="U357" s="157"/>
      <c r="V357" s="246">
        <f t="shared" si="38"/>
        <v>2388330.6339599597</v>
      </c>
    </row>
    <row r="358" spans="1:22" s="19" customFormat="1" ht="18.75" customHeight="1" x14ac:dyDescent="0.2">
      <c r="A358" s="16"/>
      <c r="B358" s="16"/>
      <c r="C358" s="20" t="s">
        <v>542</v>
      </c>
      <c r="D358" s="19" t="s">
        <v>288</v>
      </c>
      <c r="E358" s="16" t="s">
        <v>4</v>
      </c>
      <c r="F358" s="221">
        <v>6</v>
      </c>
      <c r="G358" s="221">
        <v>0</v>
      </c>
      <c r="I358" s="220" t="s">
        <v>374</v>
      </c>
      <c r="K358" s="247">
        <v>3986.35</v>
      </c>
      <c r="L358" s="217">
        <f t="shared" si="35"/>
        <v>23918.1</v>
      </c>
      <c r="M358" s="217">
        <v>1410.03</v>
      </c>
      <c r="N358" s="117">
        <f t="shared" si="36"/>
        <v>23918.1</v>
      </c>
      <c r="P358" s="17">
        <f t="shared" si="34"/>
        <v>629662.05021165207</v>
      </c>
      <c r="Q358" s="18"/>
      <c r="R358" s="240">
        <f t="shared" si="37"/>
        <v>2.2726222445898625E-4</v>
      </c>
      <c r="S358" s="223">
        <f t="shared" si="39"/>
        <v>25328.129999999997</v>
      </c>
      <c r="T358" s="157"/>
      <c r="U358" s="157"/>
      <c r="V358" s="246">
        <f t="shared" si="38"/>
        <v>653580.15021165204</v>
      </c>
    </row>
    <row r="359" spans="1:22" s="19" customFormat="1" ht="18.75" customHeight="1" x14ac:dyDescent="0.2">
      <c r="A359" s="16"/>
      <c r="B359" s="16"/>
      <c r="C359" s="20" t="s">
        <v>543</v>
      </c>
      <c r="D359" s="19" t="s">
        <v>289</v>
      </c>
      <c r="E359" s="16" t="s">
        <v>4</v>
      </c>
      <c r="F359" s="221">
        <v>20</v>
      </c>
      <c r="G359" s="221">
        <v>0</v>
      </c>
      <c r="I359" s="220" t="s">
        <v>374</v>
      </c>
      <c r="K359" s="247">
        <v>3625.3</v>
      </c>
      <c r="L359" s="217">
        <f t="shared" si="35"/>
        <v>72506</v>
      </c>
      <c r="M359" s="217">
        <v>1410.03</v>
      </c>
      <c r="N359" s="117">
        <f t="shared" si="36"/>
        <v>72506</v>
      </c>
      <c r="P359" s="17">
        <f t="shared" si="34"/>
        <v>1837566.3340841183</v>
      </c>
      <c r="Q359" s="18"/>
      <c r="R359" s="240">
        <f t="shared" si="37"/>
        <v>6.6322785776040953E-4</v>
      </c>
      <c r="S359" s="223">
        <f t="shared" si="39"/>
        <v>73916.03</v>
      </c>
      <c r="T359" s="157"/>
      <c r="U359" s="157"/>
      <c r="V359" s="246">
        <f t="shared" si="38"/>
        <v>1910072.3340841183</v>
      </c>
    </row>
    <row r="360" spans="1:22" s="19" customFormat="1" ht="18.75" customHeight="1" x14ac:dyDescent="0.2">
      <c r="A360" s="16"/>
      <c r="B360" s="16"/>
      <c r="C360" s="20" t="s">
        <v>544</v>
      </c>
      <c r="D360" s="19" t="s">
        <v>290</v>
      </c>
      <c r="E360" s="16" t="s">
        <v>4</v>
      </c>
      <c r="F360" s="221">
        <v>16</v>
      </c>
      <c r="G360" s="221">
        <v>0</v>
      </c>
      <c r="I360" s="220" t="s">
        <v>374</v>
      </c>
      <c r="K360" s="247">
        <v>4250.2</v>
      </c>
      <c r="L360" s="217">
        <f t="shared" si="35"/>
        <v>68003.199999999997</v>
      </c>
      <c r="M360" s="217">
        <v>1410.03</v>
      </c>
      <c r="N360" s="117">
        <f t="shared" si="36"/>
        <v>68003.199999999997</v>
      </c>
      <c r="P360" s="17">
        <f t="shared" si="34"/>
        <v>1725625.8836958336</v>
      </c>
      <c r="Q360" s="18"/>
      <c r="R360" s="240">
        <f t="shared" si="37"/>
        <v>6.2282549310522487E-4</v>
      </c>
      <c r="S360" s="223">
        <f t="shared" si="39"/>
        <v>69413.23</v>
      </c>
      <c r="T360" s="157"/>
      <c r="U360" s="157"/>
      <c r="V360" s="246">
        <f t="shared" si="38"/>
        <v>1793629.0836958336</v>
      </c>
    </row>
    <row r="361" spans="1:22" s="19" customFormat="1" ht="18.75" customHeight="1" x14ac:dyDescent="0.2">
      <c r="A361" s="16"/>
      <c r="B361" s="16"/>
      <c r="C361" s="20" t="s">
        <v>545</v>
      </c>
      <c r="D361" s="19" t="s">
        <v>291</v>
      </c>
      <c r="E361" s="16" t="s">
        <v>4</v>
      </c>
      <c r="F361" s="221">
        <v>3</v>
      </c>
      <c r="G361" s="221">
        <v>0</v>
      </c>
      <c r="I361" s="220" t="s">
        <v>374</v>
      </c>
      <c r="K361" s="247">
        <v>3640</v>
      </c>
      <c r="L361" s="217">
        <f t="shared" si="35"/>
        <v>10920</v>
      </c>
      <c r="M361" s="217">
        <v>1410.03</v>
      </c>
      <c r="N361" s="117">
        <f t="shared" si="36"/>
        <v>10920</v>
      </c>
      <c r="P361" s="17">
        <f t="shared" si="34"/>
        <v>306526.85251422733</v>
      </c>
      <c r="Q361" s="18"/>
      <c r="R361" s="240">
        <f t="shared" si="37"/>
        <v>1.1063390962720243E-4</v>
      </c>
      <c r="S361" s="223">
        <f t="shared" si="39"/>
        <v>12330.03</v>
      </c>
      <c r="T361" s="157"/>
      <c r="U361" s="157"/>
      <c r="V361" s="246">
        <f t="shared" si="38"/>
        <v>317446.85251422733</v>
      </c>
    </row>
    <row r="362" spans="1:22" s="19" customFormat="1" ht="18.75" customHeight="1" x14ac:dyDescent="0.2">
      <c r="A362" s="16"/>
      <c r="B362" s="16"/>
      <c r="C362" s="20" t="s">
        <v>546</v>
      </c>
      <c r="D362" s="19" t="s">
        <v>292</v>
      </c>
      <c r="E362" s="16" t="s">
        <v>4</v>
      </c>
      <c r="F362" s="221">
        <v>71</v>
      </c>
      <c r="G362" s="221">
        <v>0</v>
      </c>
      <c r="I362" s="220" t="s">
        <v>374</v>
      </c>
      <c r="K362" s="247">
        <v>2813.25</v>
      </c>
      <c r="L362" s="217">
        <f t="shared" si="35"/>
        <v>199740.75</v>
      </c>
      <c r="M362" s="217">
        <v>1410.03</v>
      </c>
      <c r="N362" s="117">
        <f t="shared" si="36"/>
        <v>199740.75</v>
      </c>
      <c r="P362" s="17">
        <f t="shared" si="34"/>
        <v>5000646.0222871946</v>
      </c>
      <c r="Q362" s="18"/>
      <c r="R362" s="240">
        <f t="shared" si="37"/>
        <v>1.8048696731444509E-3</v>
      </c>
      <c r="S362" s="223">
        <f t="shared" si="39"/>
        <v>201150.78</v>
      </c>
      <c r="T362" s="157"/>
      <c r="U362" s="157"/>
      <c r="V362" s="246">
        <f t="shared" si="38"/>
        <v>5200386.7722871946</v>
      </c>
    </row>
    <row r="363" spans="1:22" s="19" customFormat="1" ht="18.75" customHeight="1" x14ac:dyDescent="0.2">
      <c r="A363" s="16"/>
      <c r="B363" s="16"/>
      <c r="C363" s="20" t="s">
        <v>547</v>
      </c>
      <c r="D363" s="19" t="s">
        <v>293</v>
      </c>
      <c r="E363" s="16" t="s">
        <v>4</v>
      </c>
      <c r="F363" s="221">
        <v>1</v>
      </c>
      <c r="G363" s="221">
        <v>0</v>
      </c>
      <c r="I363" s="220" t="s">
        <v>374</v>
      </c>
      <c r="K363" s="247">
        <v>4250.2</v>
      </c>
      <c r="L363" s="217">
        <f t="shared" si="35"/>
        <v>4250.2</v>
      </c>
      <c r="M363" s="217">
        <v>1410.03</v>
      </c>
      <c r="N363" s="117">
        <f t="shared" si="36"/>
        <v>4250.2</v>
      </c>
      <c r="P363" s="17">
        <f t="shared" si="34"/>
        <v>140714.37672143578</v>
      </c>
      <c r="Q363" s="18"/>
      <c r="R363" s="240">
        <f t="shared" si="37"/>
        <v>5.0787660231903728E-5</v>
      </c>
      <c r="S363" s="223">
        <f t="shared" si="39"/>
        <v>5660.23</v>
      </c>
      <c r="T363" s="157"/>
      <c r="U363" s="157"/>
      <c r="V363" s="246">
        <f t="shared" si="38"/>
        <v>144964.57672143579</v>
      </c>
    </row>
    <row r="364" spans="1:22" s="19" customFormat="1" ht="18.75" customHeight="1" x14ac:dyDescent="0.2">
      <c r="A364" s="16"/>
      <c r="B364" s="16"/>
      <c r="C364" s="20" t="s">
        <v>548</v>
      </c>
      <c r="D364" s="19" t="s">
        <v>294</v>
      </c>
      <c r="E364" s="16" t="s">
        <v>4</v>
      </c>
      <c r="F364" s="221">
        <v>78</v>
      </c>
      <c r="G364" s="221">
        <v>0</v>
      </c>
      <c r="I364" s="220" t="s">
        <v>374</v>
      </c>
      <c r="K364" s="247">
        <v>4997.55</v>
      </c>
      <c r="L364" s="217">
        <f t="shared" si="35"/>
        <v>389808.9</v>
      </c>
      <c r="M364" s="217">
        <v>1410.03</v>
      </c>
      <c r="N364" s="117">
        <f t="shared" si="36"/>
        <v>389808.9</v>
      </c>
      <c r="P364" s="17">
        <f t="shared" si="34"/>
        <v>9725775.7894249912</v>
      </c>
      <c r="Q364" s="18"/>
      <c r="R364" s="240">
        <f t="shared" si="37"/>
        <v>3.5102980078775829E-3</v>
      </c>
      <c r="S364" s="223">
        <f t="shared" si="39"/>
        <v>391218.93000000005</v>
      </c>
      <c r="T364" s="157"/>
      <c r="U364" s="157"/>
      <c r="V364" s="246">
        <f t="shared" si="38"/>
        <v>10115584.689424992</v>
      </c>
    </row>
    <row r="365" spans="1:22" s="19" customFormat="1" ht="18.75" customHeight="1" x14ac:dyDescent="0.2">
      <c r="A365" s="16"/>
      <c r="B365" s="16"/>
      <c r="C365" s="20" t="s">
        <v>549</v>
      </c>
      <c r="D365" s="19" t="s">
        <v>295</v>
      </c>
      <c r="E365" s="16" t="s">
        <v>4</v>
      </c>
      <c r="F365" s="221">
        <v>37</v>
      </c>
      <c r="G365" s="221">
        <v>0</v>
      </c>
      <c r="I365" s="220" t="s">
        <v>374</v>
      </c>
      <c r="K365" s="247">
        <v>5095</v>
      </c>
      <c r="L365" s="217">
        <f t="shared" si="35"/>
        <v>188515</v>
      </c>
      <c r="M365" s="217">
        <v>1430.78</v>
      </c>
      <c r="N365" s="117">
        <f t="shared" si="36"/>
        <v>188515</v>
      </c>
      <c r="P365" s="17">
        <f t="shared" si="34"/>
        <v>4722087.6260446943</v>
      </c>
      <c r="Q365" s="18"/>
      <c r="R365" s="240">
        <f t="shared" si="37"/>
        <v>1.7043303429584902E-3</v>
      </c>
      <c r="S365" s="223">
        <f t="shared" si="39"/>
        <v>189945.78</v>
      </c>
      <c r="T365" s="157"/>
      <c r="U365" s="157"/>
      <c r="V365" s="246">
        <f t="shared" si="38"/>
        <v>4910602.6260446943</v>
      </c>
    </row>
    <row r="366" spans="1:22" s="19" customFormat="1" ht="18.75" customHeight="1" x14ac:dyDescent="0.2">
      <c r="A366" s="16"/>
      <c r="B366" s="16"/>
      <c r="C366" s="20" t="s">
        <v>550</v>
      </c>
      <c r="D366" s="19" t="s">
        <v>296</v>
      </c>
      <c r="E366" s="16" t="s">
        <v>4</v>
      </c>
      <c r="F366" s="221">
        <v>1</v>
      </c>
      <c r="G366" s="221">
        <v>0</v>
      </c>
      <c r="I366" s="220" t="s">
        <v>374</v>
      </c>
      <c r="K366" s="247">
        <v>3672.95</v>
      </c>
      <c r="L366" s="217">
        <f t="shared" si="35"/>
        <v>3672.95</v>
      </c>
      <c r="M366" s="217">
        <v>1410.03</v>
      </c>
      <c r="N366" s="117">
        <f t="shared" si="36"/>
        <v>3672.95</v>
      </c>
      <c r="P366" s="17">
        <f t="shared" si="34"/>
        <v>126363.83372893391</v>
      </c>
      <c r="Q366" s="18"/>
      <c r="R366" s="240">
        <f t="shared" si="37"/>
        <v>4.5608157478682317E-5</v>
      </c>
      <c r="S366" s="223">
        <f t="shared" si="39"/>
        <v>5082.9799999999996</v>
      </c>
      <c r="T366" s="157"/>
      <c r="U366" s="157"/>
      <c r="V366" s="246">
        <f t="shared" si="38"/>
        <v>130036.78372893391</v>
      </c>
    </row>
    <row r="367" spans="1:22" s="19" customFormat="1" ht="18.75" customHeight="1" x14ac:dyDescent="0.2">
      <c r="A367" s="16"/>
      <c r="B367" s="16"/>
      <c r="C367" s="20" t="s">
        <v>551</v>
      </c>
      <c r="D367" s="19" t="s">
        <v>297</v>
      </c>
      <c r="E367" s="16" t="s">
        <v>4</v>
      </c>
      <c r="F367" s="221">
        <v>33</v>
      </c>
      <c r="G367" s="221">
        <v>0</v>
      </c>
      <c r="I367" s="220" t="s">
        <v>374</v>
      </c>
      <c r="K367" s="247">
        <v>4251.2</v>
      </c>
      <c r="L367" s="217">
        <f t="shared" si="35"/>
        <v>140289.60000000001</v>
      </c>
      <c r="M367" s="217">
        <v>1410.03</v>
      </c>
      <c r="N367" s="117">
        <f t="shared" si="36"/>
        <v>140289.60000000001</v>
      </c>
      <c r="P367" s="17">
        <f t="shared" si="34"/>
        <v>3522679.3111071573</v>
      </c>
      <c r="Q367" s="18"/>
      <c r="R367" s="240">
        <f t="shared" si="37"/>
        <v>1.2714311367959382E-3</v>
      </c>
      <c r="S367" s="223">
        <f t="shared" si="39"/>
        <v>141699.63</v>
      </c>
      <c r="T367" s="157"/>
      <c r="U367" s="157"/>
      <c r="V367" s="246">
        <f t="shared" si="38"/>
        <v>3662968.9111071574</v>
      </c>
    </row>
    <row r="368" spans="1:22" s="19" customFormat="1" ht="18.75" customHeight="1" x14ac:dyDescent="0.2">
      <c r="A368" s="16"/>
      <c r="B368" s="16"/>
      <c r="C368" s="20" t="s">
        <v>552</v>
      </c>
      <c r="D368" s="19" t="s">
        <v>298</v>
      </c>
      <c r="E368" s="16" t="s">
        <v>4</v>
      </c>
      <c r="F368" s="221">
        <v>2</v>
      </c>
      <c r="G368" s="221">
        <v>0</v>
      </c>
      <c r="I368" s="220" t="s">
        <v>374</v>
      </c>
      <c r="K368" s="247">
        <v>3639.05</v>
      </c>
      <c r="L368" s="217">
        <f t="shared" si="35"/>
        <v>7278.1</v>
      </c>
      <c r="M368" s="217">
        <v>1610.03</v>
      </c>
      <c r="N368" s="117">
        <f t="shared" si="36"/>
        <v>7278.1</v>
      </c>
      <c r="P368" s="17">
        <f t="shared" si="34"/>
        <v>220960.57460016556</v>
      </c>
      <c r="Q368" s="18"/>
      <c r="R368" s="240">
        <f t="shared" si="37"/>
        <v>7.9750703864858949E-5</v>
      </c>
      <c r="S368" s="223">
        <f t="shared" si="39"/>
        <v>8888.130000000001</v>
      </c>
      <c r="T368" s="157"/>
      <c r="U368" s="157"/>
      <c r="V368" s="246">
        <f t="shared" si="38"/>
        <v>228238.67460016557</v>
      </c>
    </row>
    <row r="369" spans="1:22" s="19" customFormat="1" ht="18.75" customHeight="1" x14ac:dyDescent="0.2">
      <c r="A369" s="16"/>
      <c r="B369" s="16"/>
      <c r="C369" s="20" t="s">
        <v>553</v>
      </c>
      <c r="D369" s="19" t="s">
        <v>299</v>
      </c>
      <c r="E369" s="16" t="s">
        <v>4</v>
      </c>
      <c r="F369" s="221">
        <v>2</v>
      </c>
      <c r="G369" s="221">
        <v>0</v>
      </c>
      <c r="I369" s="220" t="s">
        <v>374</v>
      </c>
      <c r="K369" s="247">
        <v>4500.2</v>
      </c>
      <c r="L369" s="217">
        <f t="shared" si="35"/>
        <v>9000.4</v>
      </c>
      <c r="M369" s="217">
        <v>1404.78</v>
      </c>
      <c r="N369" s="117">
        <f t="shared" si="36"/>
        <v>9000.4</v>
      </c>
      <c r="P369" s="17">
        <f t="shared" si="34"/>
        <v>258674.72141138246</v>
      </c>
      <c r="Q369" s="18"/>
      <c r="R369" s="240">
        <f t="shared" si="37"/>
        <v>9.3362769090973353E-5</v>
      </c>
      <c r="S369" s="223">
        <f t="shared" si="39"/>
        <v>10405.18</v>
      </c>
      <c r="T369" s="157"/>
      <c r="U369" s="157"/>
      <c r="V369" s="246">
        <f t="shared" si="38"/>
        <v>267675.12141138245</v>
      </c>
    </row>
    <row r="370" spans="1:22" s="19" customFormat="1" ht="18.75" customHeight="1" x14ac:dyDescent="0.2">
      <c r="A370" s="16"/>
      <c r="B370" s="16"/>
      <c r="C370" s="20" t="s">
        <v>554</v>
      </c>
      <c r="D370" s="19" t="s">
        <v>300</v>
      </c>
      <c r="E370" s="16" t="s">
        <v>4</v>
      </c>
      <c r="F370" s="221">
        <v>1</v>
      </c>
      <c r="G370" s="221">
        <v>0</v>
      </c>
      <c r="I370" s="220" t="s">
        <v>374</v>
      </c>
      <c r="K370" s="247">
        <v>5016.8999999999996</v>
      </c>
      <c r="L370" s="217">
        <f t="shared" si="35"/>
        <v>5016.8999999999996</v>
      </c>
      <c r="M370" s="217">
        <v>1410.03</v>
      </c>
      <c r="N370" s="117">
        <f t="shared" si="36"/>
        <v>5016.8999999999996</v>
      </c>
      <c r="P370" s="17">
        <f t="shared" si="34"/>
        <v>159774.68215643131</v>
      </c>
      <c r="Q370" s="18"/>
      <c r="R370" s="240">
        <f t="shared" si="37"/>
        <v>5.7667044832847608E-5</v>
      </c>
      <c r="S370" s="223">
        <f t="shared" si="39"/>
        <v>6426.9299999999994</v>
      </c>
      <c r="T370" s="157"/>
      <c r="U370" s="157"/>
      <c r="V370" s="246">
        <f t="shared" si="38"/>
        <v>164791.58215643131</v>
      </c>
    </row>
    <row r="371" spans="1:22" s="19" customFormat="1" ht="18.75" customHeight="1" x14ac:dyDescent="0.2">
      <c r="A371" s="16"/>
      <c r="B371" s="16"/>
      <c r="C371" s="20" t="s">
        <v>555</v>
      </c>
      <c r="D371" s="19" t="s">
        <v>301</v>
      </c>
      <c r="E371" s="16" t="s">
        <v>4</v>
      </c>
      <c r="F371" s="221">
        <v>7</v>
      </c>
      <c r="G371" s="221">
        <v>0</v>
      </c>
      <c r="I371" s="220" t="s">
        <v>374</v>
      </c>
      <c r="K371" s="247">
        <v>3672.95</v>
      </c>
      <c r="L371" s="217">
        <f t="shared" si="35"/>
        <v>25710.649999999998</v>
      </c>
      <c r="M371" s="217">
        <v>1410.03</v>
      </c>
      <c r="N371" s="117">
        <f t="shared" si="36"/>
        <v>25710.649999999998</v>
      </c>
      <c r="P371" s="17">
        <f t="shared" si="34"/>
        <v>674225.17856368178</v>
      </c>
      <c r="Q371" s="18"/>
      <c r="R371" s="240">
        <f t="shared" si="37"/>
        <v>2.4334627410868228E-4</v>
      </c>
      <c r="S371" s="223">
        <f t="shared" si="39"/>
        <v>27120.679999999997</v>
      </c>
      <c r="T371" s="157"/>
      <c r="U371" s="157"/>
      <c r="V371" s="246">
        <f t="shared" si="38"/>
        <v>699935.8285636818</v>
      </c>
    </row>
    <row r="372" spans="1:22" s="19" customFormat="1" ht="18.75" customHeight="1" x14ac:dyDescent="0.2">
      <c r="A372" s="16"/>
      <c r="B372" s="16"/>
      <c r="C372" s="20" t="s">
        <v>556</v>
      </c>
      <c r="D372" s="19" t="s">
        <v>302</v>
      </c>
      <c r="E372" s="16" t="s">
        <v>4</v>
      </c>
      <c r="F372" s="221">
        <v>4</v>
      </c>
      <c r="G372" s="221">
        <v>0</v>
      </c>
      <c r="I372" s="220" t="s">
        <v>374</v>
      </c>
      <c r="K372" s="247">
        <v>4171.75</v>
      </c>
      <c r="L372" s="217">
        <f t="shared" si="35"/>
        <v>16687</v>
      </c>
      <c r="M372" s="217">
        <v>1410.03</v>
      </c>
      <c r="N372" s="117">
        <f t="shared" si="36"/>
        <v>16687</v>
      </c>
      <c r="P372" s="17">
        <f t="shared" si="34"/>
        <v>449895.55141030042</v>
      </c>
      <c r="Q372" s="18"/>
      <c r="R372" s="240">
        <f t="shared" si="37"/>
        <v>1.6237958719814719E-4</v>
      </c>
      <c r="S372" s="223">
        <f t="shared" si="39"/>
        <v>18097.03</v>
      </c>
      <c r="T372" s="157"/>
      <c r="U372" s="157"/>
      <c r="V372" s="246">
        <f t="shared" si="38"/>
        <v>466582.55141030042</v>
      </c>
    </row>
    <row r="373" spans="1:22" s="19" customFormat="1" ht="18.75" customHeight="1" x14ac:dyDescent="0.2">
      <c r="A373" s="16"/>
      <c r="B373" s="16"/>
      <c r="C373" s="20" t="s">
        <v>557</v>
      </c>
      <c r="D373" s="19" t="s">
        <v>303</v>
      </c>
      <c r="E373" s="16" t="s">
        <v>4</v>
      </c>
      <c r="F373" s="221">
        <v>1</v>
      </c>
      <c r="G373" s="221">
        <v>0</v>
      </c>
      <c r="I373" s="220" t="s">
        <v>374</v>
      </c>
      <c r="K373" s="247">
        <v>3640</v>
      </c>
      <c r="L373" s="217">
        <f t="shared" si="35"/>
        <v>3640</v>
      </c>
      <c r="M373" s="217">
        <v>1410.03</v>
      </c>
      <c r="N373" s="117">
        <f t="shared" si="36"/>
        <v>3640</v>
      </c>
      <c r="P373" s="17">
        <f t="shared" si="34"/>
        <v>125544.69056461529</v>
      </c>
      <c r="Q373" s="18"/>
      <c r="R373" s="240">
        <f t="shared" si="37"/>
        <v>4.531250634707791E-5</v>
      </c>
      <c r="S373" s="223">
        <f t="shared" si="39"/>
        <v>5050.03</v>
      </c>
      <c r="T373" s="157"/>
      <c r="U373" s="157"/>
      <c r="V373" s="246">
        <f t="shared" si="38"/>
        <v>129184.69056461529</v>
      </c>
    </row>
    <row r="374" spans="1:22" s="19" customFormat="1" ht="18.75" customHeight="1" x14ac:dyDescent="0.2">
      <c r="A374" s="16"/>
      <c r="B374" s="16"/>
      <c r="C374" s="20" t="s">
        <v>558</v>
      </c>
      <c r="D374" s="19" t="s">
        <v>304</v>
      </c>
      <c r="E374" s="16" t="s">
        <v>4</v>
      </c>
      <c r="F374" s="221">
        <v>16</v>
      </c>
      <c r="G374" s="221">
        <v>0</v>
      </c>
      <c r="I374" s="220" t="s">
        <v>374</v>
      </c>
      <c r="K374" s="247">
        <v>4941.05</v>
      </c>
      <c r="L374" s="217">
        <f t="shared" si="35"/>
        <v>79056.800000000003</v>
      </c>
      <c r="M374" s="217">
        <v>1450.63</v>
      </c>
      <c r="N374" s="117">
        <f t="shared" si="36"/>
        <v>79056.800000000003</v>
      </c>
      <c r="P374" s="17">
        <f t="shared" si="34"/>
        <v>2001429.7712097603</v>
      </c>
      <c r="Q374" s="18"/>
      <c r="R374" s="240">
        <f t="shared" si="37"/>
        <v>7.2237064588961464E-4</v>
      </c>
      <c r="S374" s="223">
        <f t="shared" si="39"/>
        <v>80507.430000000008</v>
      </c>
      <c r="T374" s="157"/>
      <c r="U374" s="157"/>
      <c r="V374" s="246">
        <f t="shared" si="38"/>
        <v>2080486.5712097604</v>
      </c>
    </row>
    <row r="375" spans="1:22" s="19" customFormat="1" ht="18.75" customHeight="1" x14ac:dyDescent="0.2">
      <c r="A375" s="16"/>
      <c r="B375" s="16"/>
      <c r="C375" s="20" t="s">
        <v>559</v>
      </c>
      <c r="D375" s="19" t="s">
        <v>305</v>
      </c>
      <c r="E375" s="16" t="s">
        <v>4</v>
      </c>
      <c r="F375" s="221">
        <v>87</v>
      </c>
      <c r="G375" s="221">
        <v>0</v>
      </c>
      <c r="I375" s="220" t="s">
        <v>374</v>
      </c>
      <c r="K375" s="247">
        <v>4457.95</v>
      </c>
      <c r="L375" s="217">
        <f t="shared" si="35"/>
        <v>387841.64999999997</v>
      </c>
      <c r="M375" s="217">
        <v>1410.03</v>
      </c>
      <c r="N375" s="117">
        <f t="shared" si="36"/>
        <v>387841.64999999997</v>
      </c>
      <c r="P375" s="17">
        <f t="shared" si="34"/>
        <v>9676869.5863899123</v>
      </c>
      <c r="Q375" s="18"/>
      <c r="R375" s="240">
        <f t="shared" si="37"/>
        <v>3.4926464240035682E-3</v>
      </c>
      <c r="S375" s="223">
        <f t="shared" si="39"/>
        <v>389251.68</v>
      </c>
      <c r="T375" s="157"/>
      <c r="U375" s="157"/>
      <c r="V375" s="246">
        <f t="shared" si="38"/>
        <v>10064711.236389913</v>
      </c>
    </row>
    <row r="376" spans="1:22" s="19" customFormat="1" ht="18.75" customHeight="1" x14ac:dyDescent="0.2">
      <c r="A376" s="16"/>
      <c r="B376" s="16"/>
      <c r="C376" s="20" t="s">
        <v>560</v>
      </c>
      <c r="D376" s="19" t="s">
        <v>306</v>
      </c>
      <c r="E376" s="16" t="s">
        <v>4</v>
      </c>
      <c r="F376" s="221">
        <v>2</v>
      </c>
      <c r="G376" s="221">
        <v>0</v>
      </c>
      <c r="I376" s="220" t="s">
        <v>374</v>
      </c>
      <c r="K376" s="247">
        <v>3672.95</v>
      </c>
      <c r="L376" s="217">
        <f t="shared" si="35"/>
        <v>7345.9</v>
      </c>
      <c r="M376" s="217">
        <v>1410.03</v>
      </c>
      <c r="N376" s="117">
        <f t="shared" si="36"/>
        <v>7345.9</v>
      </c>
      <c r="P376" s="17">
        <f t="shared" si="34"/>
        <v>217674.05786805859</v>
      </c>
      <c r="Q376" s="18"/>
      <c r="R376" s="240">
        <f t="shared" si="37"/>
        <v>7.8564510250348987E-5</v>
      </c>
      <c r="S376" s="223">
        <f t="shared" si="39"/>
        <v>8755.93</v>
      </c>
      <c r="T376" s="157"/>
      <c r="U376" s="157"/>
      <c r="V376" s="246">
        <f t="shared" si="38"/>
        <v>225019.95786805858</v>
      </c>
    </row>
    <row r="377" spans="1:22" s="19" customFormat="1" ht="18.75" customHeight="1" x14ac:dyDescent="0.2">
      <c r="A377" s="16"/>
      <c r="B377" s="16"/>
      <c r="C377" s="20" t="s">
        <v>561</v>
      </c>
      <c r="D377" s="19" t="s">
        <v>307</v>
      </c>
      <c r="E377" s="16" t="s">
        <v>4</v>
      </c>
      <c r="F377" s="221">
        <v>1</v>
      </c>
      <c r="G377" s="221">
        <v>0</v>
      </c>
      <c r="I377" s="220" t="s">
        <v>374</v>
      </c>
      <c r="K377" s="247">
        <v>3809.15</v>
      </c>
      <c r="L377" s="217">
        <f t="shared" si="35"/>
        <v>3809.15</v>
      </c>
      <c r="M377" s="217">
        <v>1410.03</v>
      </c>
      <c r="N377" s="117">
        <f t="shared" si="36"/>
        <v>3809.15</v>
      </c>
      <c r="P377" s="17">
        <f t="shared" si="34"/>
        <v>129749.79120936485</v>
      </c>
      <c r="Q377" s="18"/>
      <c r="R377" s="240">
        <f t="shared" si="37"/>
        <v>4.6830241974115418E-5</v>
      </c>
      <c r="S377" s="223">
        <f t="shared" si="39"/>
        <v>5219.18</v>
      </c>
      <c r="T377" s="157"/>
      <c r="U377" s="157"/>
      <c r="V377" s="246">
        <f t="shared" si="38"/>
        <v>133558.94120936486</v>
      </c>
    </row>
    <row r="378" spans="1:22" s="19" customFormat="1" ht="18.75" customHeight="1" x14ac:dyDescent="0.2">
      <c r="A378" s="16"/>
      <c r="B378" s="16"/>
      <c r="C378" s="20" t="s">
        <v>562</v>
      </c>
      <c r="D378" s="19" t="s">
        <v>308</v>
      </c>
      <c r="E378" s="16" t="s">
        <v>4</v>
      </c>
      <c r="F378" s="221">
        <v>1</v>
      </c>
      <c r="G378" s="221">
        <v>0</v>
      </c>
      <c r="I378" s="220" t="s">
        <v>374</v>
      </c>
      <c r="K378" s="247">
        <v>3986.35</v>
      </c>
      <c r="L378" s="217">
        <f t="shared" si="35"/>
        <v>3986.35</v>
      </c>
      <c r="M378" s="217">
        <v>1410.03</v>
      </c>
      <c r="N378" s="117">
        <f t="shared" si="36"/>
        <v>3986.35</v>
      </c>
      <c r="P378" s="17">
        <f t="shared" si="34"/>
        <v>134155.01636011639</v>
      </c>
      <c r="Q378" s="18"/>
      <c r="R378" s="240">
        <f t="shared" si="37"/>
        <v>4.8420207999010757E-5</v>
      </c>
      <c r="S378" s="223">
        <f t="shared" si="39"/>
        <v>5396.38</v>
      </c>
      <c r="T378" s="157"/>
      <c r="U378" s="157"/>
      <c r="V378" s="246">
        <f t="shared" si="38"/>
        <v>138141.3663601164</v>
      </c>
    </row>
    <row r="379" spans="1:22" s="19" customFormat="1" ht="18.75" customHeight="1" x14ac:dyDescent="0.2">
      <c r="A379" s="16"/>
      <c r="B379" s="16"/>
      <c r="C379" s="20" t="s">
        <v>563</v>
      </c>
      <c r="D379" s="19" t="s">
        <v>309</v>
      </c>
      <c r="E379" s="16" t="s">
        <v>4</v>
      </c>
      <c r="F379" s="221">
        <v>91</v>
      </c>
      <c r="G379" s="221">
        <v>0</v>
      </c>
      <c r="I379" s="220" t="s">
        <v>374</v>
      </c>
      <c r="K379" s="247">
        <v>5627.6</v>
      </c>
      <c r="L379" s="217">
        <f t="shared" si="35"/>
        <v>512111.60000000003</v>
      </c>
      <c r="M379" s="217">
        <v>1487.78</v>
      </c>
      <c r="N379" s="117">
        <f t="shared" si="36"/>
        <v>512111.60000000003</v>
      </c>
      <c r="P379" s="17">
        <f t="shared" si="34"/>
        <v>12768176.671480818</v>
      </c>
      <c r="Q379" s="18"/>
      <c r="R379" s="240">
        <f t="shared" si="37"/>
        <v>4.6083835474453189E-3</v>
      </c>
      <c r="S379" s="223">
        <f t="shared" si="39"/>
        <v>513599.38000000006</v>
      </c>
      <c r="T379" s="157"/>
      <c r="U379" s="157"/>
      <c r="V379" s="246">
        <f t="shared" si="38"/>
        <v>13280288.271480817</v>
      </c>
    </row>
    <row r="380" spans="1:22" s="19" customFormat="1" ht="18.75" customHeight="1" x14ac:dyDescent="0.2">
      <c r="A380" s="16"/>
      <c r="B380" s="16"/>
      <c r="C380" s="20" t="s">
        <v>564</v>
      </c>
      <c r="D380" s="19" t="s">
        <v>310</v>
      </c>
      <c r="E380" s="16" t="s">
        <v>4</v>
      </c>
      <c r="F380" s="221">
        <v>27</v>
      </c>
      <c r="G380" s="221">
        <v>0</v>
      </c>
      <c r="I380" s="220" t="s">
        <v>374</v>
      </c>
      <c r="K380" s="247">
        <v>5042.6000000000004</v>
      </c>
      <c r="L380" s="217">
        <f t="shared" si="35"/>
        <v>136150.20000000001</v>
      </c>
      <c r="M380" s="217">
        <v>1487.78</v>
      </c>
      <c r="N380" s="117">
        <f t="shared" si="36"/>
        <v>136150.20000000001</v>
      </c>
      <c r="P380" s="17">
        <f t="shared" si="34"/>
        <v>3421705.9322496518</v>
      </c>
      <c r="Q380" s="18"/>
      <c r="R380" s="240">
        <f t="shared" si="37"/>
        <v>1.2349870876705649E-3</v>
      </c>
      <c r="S380" s="223">
        <f t="shared" si="39"/>
        <v>137637.98000000001</v>
      </c>
      <c r="T380" s="157"/>
      <c r="U380" s="157"/>
      <c r="V380" s="246">
        <f t="shared" si="38"/>
        <v>3557856.1322496519</v>
      </c>
    </row>
    <row r="381" spans="1:22" s="19" customFormat="1" ht="18.75" customHeight="1" x14ac:dyDescent="0.2">
      <c r="A381" s="16"/>
      <c r="B381" s="16"/>
      <c r="C381" s="20" t="s">
        <v>565</v>
      </c>
      <c r="D381" s="19" t="s">
        <v>311</v>
      </c>
      <c r="E381" s="16" t="s">
        <v>4</v>
      </c>
      <c r="F381" s="221">
        <v>62</v>
      </c>
      <c r="G381" s="221">
        <v>0</v>
      </c>
      <c r="I381" s="220" t="s">
        <v>374</v>
      </c>
      <c r="K381" s="247">
        <v>4981.3999999999996</v>
      </c>
      <c r="L381" s="217">
        <f t="shared" si="35"/>
        <v>308846.8</v>
      </c>
      <c r="M381" s="217">
        <v>1487.78</v>
      </c>
      <c r="N381" s="117">
        <f t="shared" si="36"/>
        <v>308846.8</v>
      </c>
      <c r="P381" s="17">
        <f t="shared" si="34"/>
        <v>7714975.7165006641</v>
      </c>
      <c r="Q381" s="18"/>
      <c r="R381" s="240">
        <f t="shared" si="37"/>
        <v>2.7845453642785802E-3</v>
      </c>
      <c r="S381" s="223">
        <f t="shared" si="39"/>
        <v>310334.58</v>
      </c>
      <c r="T381" s="157"/>
      <c r="U381" s="157"/>
      <c r="V381" s="246">
        <f t="shared" si="38"/>
        <v>8023822.5165006639</v>
      </c>
    </row>
    <row r="382" spans="1:22" s="19" customFormat="1" ht="18.75" customHeight="1" x14ac:dyDescent="0.2">
      <c r="A382" s="16"/>
      <c r="B382" s="16"/>
      <c r="C382" s="20" t="s">
        <v>566</v>
      </c>
      <c r="D382" s="19" t="s">
        <v>312</v>
      </c>
      <c r="E382" s="16" t="s">
        <v>4</v>
      </c>
      <c r="F382" s="221">
        <v>2</v>
      </c>
      <c r="G382" s="221">
        <v>0</v>
      </c>
      <c r="I382" s="220" t="s">
        <v>374</v>
      </c>
      <c r="K382" s="247">
        <v>3986.35</v>
      </c>
      <c r="L382" s="217">
        <f t="shared" si="35"/>
        <v>7972.7</v>
      </c>
      <c r="M382" s="217">
        <v>1410.03</v>
      </c>
      <c r="N382" s="117">
        <f t="shared" si="36"/>
        <v>7972.7</v>
      </c>
      <c r="P382" s="17">
        <f t="shared" si="34"/>
        <v>233256.4231304235</v>
      </c>
      <c r="Q382" s="18"/>
      <c r="R382" s="240">
        <f t="shared" si="37"/>
        <v>8.4188611291005852E-5</v>
      </c>
      <c r="S382" s="223">
        <f t="shared" si="39"/>
        <v>9382.73</v>
      </c>
      <c r="T382" s="157"/>
      <c r="U382" s="157"/>
      <c r="V382" s="246">
        <f t="shared" si="38"/>
        <v>241229.12313042351</v>
      </c>
    </row>
    <row r="383" spans="1:22" s="19" customFormat="1" ht="18.75" customHeight="1" x14ac:dyDescent="0.2">
      <c r="A383" s="16"/>
      <c r="B383" s="16"/>
      <c r="C383" s="20" t="s">
        <v>567</v>
      </c>
      <c r="D383" s="19" t="s">
        <v>271</v>
      </c>
      <c r="E383" s="16" t="s">
        <v>4</v>
      </c>
      <c r="F383" s="221">
        <v>3</v>
      </c>
      <c r="G383" s="221">
        <v>0</v>
      </c>
      <c r="I383" s="220" t="s">
        <v>374</v>
      </c>
      <c r="K383" s="247">
        <v>3354.35</v>
      </c>
      <c r="L383" s="217">
        <f t="shared" si="35"/>
        <v>10063.049999999999</v>
      </c>
      <c r="M383" s="217">
        <v>1410.03</v>
      </c>
      <c r="N383" s="117">
        <f t="shared" si="36"/>
        <v>10063.049999999999</v>
      </c>
      <c r="P383" s="17">
        <f t="shared" si="34"/>
        <v>285222.91519517236</v>
      </c>
      <c r="Q383" s="18"/>
      <c r="R383" s="240">
        <f t="shared" si="37"/>
        <v>1.0294473702543008E-4</v>
      </c>
      <c r="S383" s="223">
        <f t="shared" si="39"/>
        <v>11473.08</v>
      </c>
      <c r="T383" s="157"/>
      <c r="U383" s="157"/>
      <c r="V383" s="246">
        <f t="shared" si="38"/>
        <v>295285.96519517235</v>
      </c>
    </row>
    <row r="384" spans="1:22" s="19" customFormat="1" ht="18.75" customHeight="1" x14ac:dyDescent="0.2">
      <c r="A384" s="16"/>
      <c r="B384" s="16"/>
      <c r="C384" s="20" t="s">
        <v>568</v>
      </c>
      <c r="D384" s="19" t="s">
        <v>285</v>
      </c>
      <c r="E384" s="16" t="s">
        <v>4</v>
      </c>
      <c r="F384" s="221">
        <v>19</v>
      </c>
      <c r="G384" s="221">
        <v>0</v>
      </c>
      <c r="I384" s="220" t="s">
        <v>374</v>
      </c>
      <c r="K384" s="247">
        <v>3354.35</v>
      </c>
      <c r="L384" s="217">
        <f t="shared" si="35"/>
        <v>63732.65</v>
      </c>
      <c r="M384" s="217">
        <v>1410.03</v>
      </c>
      <c r="N384" s="117">
        <f t="shared" si="36"/>
        <v>63732.65</v>
      </c>
      <c r="P384" s="17">
        <f t="shared" si="34"/>
        <v>1619459.211757109</v>
      </c>
      <c r="Q384" s="18"/>
      <c r="R384" s="240">
        <f t="shared" si="37"/>
        <v>5.8450704272364033E-4</v>
      </c>
      <c r="S384" s="223">
        <f t="shared" si="39"/>
        <v>65142.68</v>
      </c>
      <c r="T384" s="157"/>
      <c r="U384" s="157"/>
      <c r="V384" s="246">
        <f t="shared" si="38"/>
        <v>1683191.8617571089</v>
      </c>
    </row>
    <row r="385" spans="1:22" s="19" customFormat="1" ht="18.75" customHeight="1" x14ac:dyDescent="0.2">
      <c r="A385" s="16"/>
      <c r="B385" s="16"/>
      <c r="C385" s="20" t="s">
        <v>569</v>
      </c>
      <c r="D385" s="19" t="s">
        <v>290</v>
      </c>
      <c r="E385" s="16" t="s">
        <v>4</v>
      </c>
      <c r="F385" s="221">
        <v>2</v>
      </c>
      <c r="G385" s="221">
        <v>0</v>
      </c>
      <c r="I385" s="220" t="s">
        <v>374</v>
      </c>
      <c r="K385" s="247">
        <v>3354.35</v>
      </c>
      <c r="L385" s="217">
        <f t="shared" si="35"/>
        <v>6708.7</v>
      </c>
      <c r="M385" s="217">
        <v>1410.03</v>
      </c>
      <c r="N385" s="117">
        <f t="shared" si="36"/>
        <v>6708.7</v>
      </c>
      <c r="P385" s="17">
        <f t="shared" si="34"/>
        <v>201833.14666005134</v>
      </c>
      <c r="Q385" s="18"/>
      <c r="R385" s="240">
        <f t="shared" si="37"/>
        <v>7.2847092919291933E-5</v>
      </c>
      <c r="S385" s="223">
        <f t="shared" si="39"/>
        <v>8118.73</v>
      </c>
      <c r="T385" s="157"/>
      <c r="U385" s="157"/>
      <c r="V385" s="246">
        <f t="shared" si="38"/>
        <v>208541.84666005135</v>
      </c>
    </row>
    <row r="386" spans="1:22" s="19" customFormat="1" ht="18.75" customHeight="1" x14ac:dyDescent="0.2">
      <c r="A386" s="16"/>
      <c r="B386" s="16"/>
      <c r="C386" s="20" t="s">
        <v>570</v>
      </c>
      <c r="D386" s="19" t="s">
        <v>290</v>
      </c>
      <c r="E386" s="16"/>
      <c r="F386" s="221">
        <v>4</v>
      </c>
      <c r="G386" s="221">
        <v>0</v>
      </c>
      <c r="I386" s="220" t="s">
        <v>374</v>
      </c>
      <c r="K386" s="247">
        <v>3578.05</v>
      </c>
      <c r="L386" s="217">
        <f t="shared" si="35"/>
        <v>14312.2</v>
      </c>
      <c r="M386" s="217">
        <v>1410.03</v>
      </c>
      <c r="N386" s="117">
        <f t="shared" si="36"/>
        <v>14312.2</v>
      </c>
      <c r="P386" s="17">
        <f t="shared" si="34"/>
        <v>390857.57913036388</v>
      </c>
      <c r="Q386" s="18"/>
      <c r="R386" s="240">
        <f t="shared" si="37"/>
        <v>1.4107117119407583E-4</v>
      </c>
      <c r="S386" s="223">
        <f t="shared" si="39"/>
        <v>15722.230000000001</v>
      </c>
      <c r="T386" s="157"/>
      <c r="U386" s="157"/>
      <c r="V386" s="246">
        <f t="shared" si="38"/>
        <v>405169.7791303639</v>
      </c>
    </row>
    <row r="387" spans="1:22" s="19" customFormat="1" ht="18.75" customHeight="1" x14ac:dyDescent="0.2">
      <c r="A387" s="16"/>
      <c r="B387" s="16"/>
      <c r="C387" s="20" t="s">
        <v>571</v>
      </c>
      <c r="D387" s="19" t="s">
        <v>317</v>
      </c>
      <c r="E387" s="16" t="s">
        <v>4</v>
      </c>
      <c r="F387" s="221">
        <v>1</v>
      </c>
      <c r="G387" s="221">
        <v>0</v>
      </c>
      <c r="I387" s="220" t="s">
        <v>374</v>
      </c>
      <c r="K387" s="247">
        <v>4995.8999999999996</v>
      </c>
      <c r="L387" s="217">
        <f t="shared" si="35"/>
        <v>4995.8999999999996</v>
      </c>
      <c r="M387" s="217">
        <v>1410.03</v>
      </c>
      <c r="N387" s="117">
        <f t="shared" si="36"/>
        <v>4995.8999999999996</v>
      </c>
      <c r="P387" s="17">
        <f t="shared" si="34"/>
        <v>159252.61822773051</v>
      </c>
      <c r="Q387" s="18"/>
      <c r="R387" s="240">
        <f t="shared" si="37"/>
        <v>5.7478617708001097E-5</v>
      </c>
      <c r="S387" s="223">
        <f t="shared" si="39"/>
        <v>6405.9299999999994</v>
      </c>
      <c r="T387" s="157"/>
      <c r="U387" s="157"/>
      <c r="V387" s="246">
        <f t="shared" si="38"/>
        <v>164248.5182277305</v>
      </c>
    </row>
    <row r="388" spans="1:22" s="19" customFormat="1" ht="18.75" customHeight="1" x14ac:dyDescent="0.2">
      <c r="A388" s="16"/>
      <c r="B388" s="16"/>
      <c r="C388" s="20" t="s">
        <v>572</v>
      </c>
      <c r="D388" s="19" t="s">
        <v>318</v>
      </c>
      <c r="E388" s="16" t="s">
        <v>4</v>
      </c>
      <c r="F388" s="221">
        <v>21</v>
      </c>
      <c r="G388" s="221">
        <v>0</v>
      </c>
      <c r="I388" s="220" t="s">
        <v>374</v>
      </c>
      <c r="K388" s="247">
        <v>4171.75</v>
      </c>
      <c r="L388" s="217">
        <f t="shared" si="35"/>
        <v>87606.75</v>
      </c>
      <c r="M388" s="217">
        <v>1410.03</v>
      </c>
      <c r="N388" s="117">
        <f t="shared" si="36"/>
        <v>87606.75</v>
      </c>
      <c r="P388" s="17">
        <f t="shared" si="34"/>
        <v>2212973.8041473879</v>
      </c>
      <c r="Q388" s="18"/>
      <c r="R388" s="240">
        <f t="shared" si="37"/>
        <v>7.9872266278545627E-4</v>
      </c>
      <c r="S388" s="223">
        <f t="shared" si="39"/>
        <v>89016.78</v>
      </c>
      <c r="T388" s="157"/>
      <c r="U388" s="157"/>
      <c r="V388" s="246">
        <f t="shared" si="38"/>
        <v>2300580.5541473879</v>
      </c>
    </row>
    <row r="389" spans="1:22" s="19" customFormat="1" ht="18.75" customHeight="1" x14ac:dyDescent="0.2">
      <c r="A389" s="16"/>
      <c r="B389" s="16"/>
      <c r="C389" s="20" t="s">
        <v>573</v>
      </c>
      <c r="D389" s="19" t="s">
        <v>319</v>
      </c>
      <c r="E389" s="16" t="s">
        <v>4</v>
      </c>
      <c r="F389" s="221">
        <v>6</v>
      </c>
      <c r="G389" s="221">
        <v>0</v>
      </c>
      <c r="I389" s="220" t="s">
        <v>374</v>
      </c>
      <c r="K389" s="247">
        <v>4500.2</v>
      </c>
      <c r="L389" s="217">
        <f t="shared" si="35"/>
        <v>27001.199999999997</v>
      </c>
      <c r="M389" s="217">
        <v>1404.78</v>
      </c>
      <c r="N389" s="117">
        <f t="shared" si="36"/>
        <v>27001.199999999997</v>
      </c>
      <c r="P389" s="17">
        <f t="shared" si="34"/>
        <v>706177.97701887903</v>
      </c>
      <c r="Q389" s="18"/>
      <c r="R389" s="240">
        <f t="shared" si="37"/>
        <v>2.5487891142131195E-4</v>
      </c>
      <c r="S389" s="223">
        <f t="shared" si="39"/>
        <v>28405.979999999996</v>
      </c>
      <c r="T389" s="157"/>
      <c r="U389" s="157"/>
      <c r="V389" s="246">
        <f t="shared" si="38"/>
        <v>733179.17701887898</v>
      </c>
    </row>
    <row r="390" spans="1:22" s="19" customFormat="1" ht="18.75" customHeight="1" x14ac:dyDescent="0.2">
      <c r="A390" s="16"/>
      <c r="B390" s="16"/>
      <c r="C390" s="20" t="s">
        <v>574</v>
      </c>
      <c r="D390" s="19" t="s">
        <v>320</v>
      </c>
      <c r="E390" s="16" t="s">
        <v>4</v>
      </c>
      <c r="F390" s="221">
        <v>6</v>
      </c>
      <c r="G390" s="221">
        <v>0</v>
      </c>
      <c r="I390" s="220" t="s">
        <v>374</v>
      </c>
      <c r="K390" s="247">
        <v>4847.8500000000004</v>
      </c>
      <c r="L390" s="217">
        <f t="shared" si="35"/>
        <v>29087.100000000002</v>
      </c>
      <c r="M390" s="217">
        <v>1830.68</v>
      </c>
      <c r="N390" s="117">
        <f t="shared" si="36"/>
        <v>29087.100000000002</v>
      </c>
      <c r="P390" s="17">
        <f t="shared" si="34"/>
        <v>768621.79492891149</v>
      </c>
      <c r="Q390" s="18"/>
      <c r="R390" s="240">
        <f t="shared" si="37"/>
        <v>2.774165900970011E-4</v>
      </c>
      <c r="S390" s="223">
        <f t="shared" si="39"/>
        <v>30917.780000000002</v>
      </c>
      <c r="T390" s="157"/>
      <c r="U390" s="157"/>
      <c r="V390" s="246">
        <f t="shared" si="38"/>
        <v>797708.89492891147</v>
      </c>
    </row>
    <row r="391" spans="1:22" s="19" customFormat="1" ht="18.75" customHeight="1" x14ac:dyDescent="0.2">
      <c r="A391" s="16"/>
      <c r="B391" s="16"/>
      <c r="C391" s="20" t="s">
        <v>575</v>
      </c>
      <c r="D391" s="19" t="s">
        <v>321</v>
      </c>
      <c r="E391" s="16" t="s">
        <v>4</v>
      </c>
      <c r="F391" s="221">
        <v>1</v>
      </c>
      <c r="G391" s="221">
        <v>0</v>
      </c>
      <c r="I391" s="220" t="s">
        <v>374</v>
      </c>
      <c r="K391" s="247">
        <v>5284.7</v>
      </c>
      <c r="L391" s="217">
        <f t="shared" si="35"/>
        <v>5284.7</v>
      </c>
      <c r="M391" s="217">
        <v>2456.23</v>
      </c>
      <c r="N391" s="117">
        <f t="shared" si="36"/>
        <v>5284.7</v>
      </c>
      <c r="P391" s="17">
        <f t="shared" si="34"/>
        <v>192440.96798085308</v>
      </c>
      <c r="Q391" s="18"/>
      <c r="R391" s="240">
        <f t="shared" si="37"/>
        <v>6.945719921610086E-5</v>
      </c>
      <c r="S391" s="223">
        <f t="shared" si="39"/>
        <v>7740.93</v>
      </c>
      <c r="T391" s="157"/>
      <c r="U391" s="157"/>
      <c r="V391" s="246">
        <f t="shared" si="38"/>
        <v>197725.66798085309</v>
      </c>
    </row>
    <row r="392" spans="1:22" s="19" customFormat="1" ht="18.75" customHeight="1" x14ac:dyDescent="0.2">
      <c r="A392" s="16"/>
      <c r="B392" s="16"/>
      <c r="C392" s="20" t="s">
        <v>576</v>
      </c>
      <c r="D392" s="19" t="s">
        <v>322</v>
      </c>
      <c r="E392" s="16" t="s">
        <v>4</v>
      </c>
      <c r="F392" s="221">
        <v>4</v>
      </c>
      <c r="G392" s="221">
        <v>0</v>
      </c>
      <c r="I392" s="220" t="s">
        <v>374</v>
      </c>
      <c r="K392" s="247">
        <v>5020.6000000000004</v>
      </c>
      <c r="L392" s="217">
        <f t="shared" si="35"/>
        <v>20082.400000000001</v>
      </c>
      <c r="M392" s="217">
        <v>1410.03</v>
      </c>
      <c r="N392" s="117">
        <f t="shared" si="36"/>
        <v>20082.400000000001</v>
      </c>
      <c r="P392" s="17">
        <f t="shared" si="34"/>
        <v>534305.8306250961</v>
      </c>
      <c r="Q392" s="18"/>
      <c r="R392" s="240">
        <f t="shared" si="37"/>
        <v>1.9284556146975911E-4</v>
      </c>
      <c r="S392" s="223">
        <f t="shared" si="39"/>
        <v>21492.43</v>
      </c>
      <c r="T392" s="157"/>
      <c r="U392" s="157"/>
      <c r="V392" s="246">
        <f t="shared" si="38"/>
        <v>554388.23062509613</v>
      </c>
    </row>
    <row r="393" spans="1:22" s="19" customFormat="1" ht="18.75" customHeight="1" x14ac:dyDescent="0.2">
      <c r="A393" s="16"/>
      <c r="B393" s="16"/>
      <c r="C393" s="20" t="s">
        <v>577</v>
      </c>
      <c r="D393" s="19" t="s">
        <v>323</v>
      </c>
      <c r="E393" s="16" t="s">
        <v>4</v>
      </c>
      <c r="F393" s="221">
        <v>3</v>
      </c>
      <c r="G393" s="221">
        <v>0</v>
      </c>
      <c r="I393" s="220" t="s">
        <v>374</v>
      </c>
      <c r="K393" s="247">
        <v>5020.6000000000004</v>
      </c>
      <c r="L393" s="217">
        <f t="shared" si="35"/>
        <v>15061.800000000001</v>
      </c>
      <c r="M393" s="217">
        <v>1410.03</v>
      </c>
      <c r="N393" s="117">
        <f t="shared" si="36"/>
        <v>15061.800000000001</v>
      </c>
      <c r="P393" s="17">
        <f t="shared" si="34"/>
        <v>409492.77536627452</v>
      </c>
      <c r="Q393" s="18"/>
      <c r="R393" s="240">
        <f t="shared" si="37"/>
        <v>1.4779712227907328E-4</v>
      </c>
      <c r="S393" s="223">
        <f t="shared" si="39"/>
        <v>16471.830000000002</v>
      </c>
      <c r="T393" s="157"/>
      <c r="U393" s="157"/>
      <c r="V393" s="246">
        <f t="shared" si="38"/>
        <v>424554.57536627451</v>
      </c>
    </row>
    <row r="394" spans="1:22" s="19" customFormat="1" ht="18.75" customHeight="1" x14ac:dyDescent="0.2">
      <c r="A394" s="16"/>
      <c r="B394" s="16"/>
      <c r="C394" s="20" t="s">
        <v>578</v>
      </c>
      <c r="D394" s="19" t="s">
        <v>299</v>
      </c>
      <c r="E394" s="16" t="s">
        <v>4</v>
      </c>
      <c r="F394" s="221">
        <v>1</v>
      </c>
      <c r="G394" s="221">
        <v>0</v>
      </c>
      <c r="I394" s="220" t="s">
        <v>374</v>
      </c>
      <c r="K394" s="247">
        <v>4500.2</v>
      </c>
      <c r="L394" s="217">
        <f t="shared" si="35"/>
        <v>4500.2</v>
      </c>
      <c r="M394" s="217">
        <v>1404.78</v>
      </c>
      <c r="N394" s="117">
        <f t="shared" si="36"/>
        <v>4500.2</v>
      </c>
      <c r="P394" s="17">
        <f t="shared" si="34"/>
        <v>146798.90750950825</v>
      </c>
      <c r="Q394" s="18"/>
      <c r="R394" s="240">
        <f t="shared" si="37"/>
        <v>5.2983733508388683E-5</v>
      </c>
      <c r="S394" s="223">
        <f t="shared" si="39"/>
        <v>5904.98</v>
      </c>
      <c r="T394" s="157"/>
      <c r="U394" s="157"/>
      <c r="V394" s="246">
        <f t="shared" si="38"/>
        <v>151299.10750950826</v>
      </c>
    </row>
    <row r="395" spans="1:22" s="19" customFormat="1" ht="18.75" customHeight="1" x14ac:dyDescent="0.2">
      <c r="A395" s="16"/>
      <c r="B395" s="16"/>
      <c r="C395" s="20" t="s">
        <v>579</v>
      </c>
      <c r="D395" s="19" t="s">
        <v>324</v>
      </c>
      <c r="E395" s="16" t="s">
        <v>4</v>
      </c>
      <c r="F395" s="221">
        <v>6</v>
      </c>
      <c r="G395" s="221">
        <v>0</v>
      </c>
      <c r="I395" s="220" t="s">
        <v>374</v>
      </c>
      <c r="K395" s="247">
        <v>4847.8500000000004</v>
      </c>
      <c r="L395" s="217">
        <f t="shared" si="35"/>
        <v>29087.100000000002</v>
      </c>
      <c r="M395" s="217">
        <v>1830.68</v>
      </c>
      <c r="N395" s="117">
        <f t="shared" si="36"/>
        <v>29087.100000000002</v>
      </c>
      <c r="P395" s="17">
        <f t="shared" si="34"/>
        <v>768621.79492891149</v>
      </c>
      <c r="Q395" s="18"/>
      <c r="R395" s="240">
        <f t="shared" si="37"/>
        <v>2.774165900970011E-4</v>
      </c>
      <c r="S395" s="223">
        <f t="shared" si="39"/>
        <v>30917.780000000002</v>
      </c>
      <c r="T395" s="157"/>
      <c r="U395" s="157"/>
      <c r="V395" s="246">
        <f t="shared" si="38"/>
        <v>797708.89492891147</v>
      </c>
    </row>
    <row r="396" spans="1:22" s="19" customFormat="1" ht="18.75" customHeight="1" x14ac:dyDescent="0.2">
      <c r="A396" s="16"/>
      <c r="B396" s="16"/>
      <c r="C396" s="20" t="s">
        <v>580</v>
      </c>
      <c r="D396" s="19" t="s">
        <v>325</v>
      </c>
      <c r="E396" s="16" t="s">
        <v>4</v>
      </c>
      <c r="F396" s="221">
        <v>1</v>
      </c>
      <c r="G396" s="221">
        <v>0</v>
      </c>
      <c r="I396" s="220" t="s">
        <v>374</v>
      </c>
      <c r="K396" s="247">
        <v>4500.2</v>
      </c>
      <c r="L396" s="217">
        <f t="shared" si="35"/>
        <v>4500.2</v>
      </c>
      <c r="M396" s="217">
        <v>1404.78</v>
      </c>
      <c r="N396" s="117">
        <f t="shared" si="36"/>
        <v>4500.2</v>
      </c>
      <c r="P396" s="17">
        <f t="shared" si="34"/>
        <v>146798.90750950825</v>
      </c>
      <c r="Q396" s="18"/>
      <c r="R396" s="240">
        <f t="shared" si="37"/>
        <v>5.2983733508388683E-5</v>
      </c>
      <c r="S396" s="223">
        <f t="shared" si="39"/>
        <v>5904.98</v>
      </c>
      <c r="T396" s="157"/>
      <c r="U396" s="157"/>
      <c r="V396" s="246">
        <f t="shared" si="38"/>
        <v>151299.10750950826</v>
      </c>
    </row>
    <row r="397" spans="1:22" s="19" customFormat="1" ht="18.75" customHeight="1" x14ac:dyDescent="0.2">
      <c r="A397" s="16"/>
      <c r="B397" s="16"/>
      <c r="C397" s="20" t="s">
        <v>581</v>
      </c>
      <c r="D397" s="19" t="s">
        <v>326</v>
      </c>
      <c r="E397" s="16" t="s">
        <v>4</v>
      </c>
      <c r="F397" s="221">
        <v>8</v>
      </c>
      <c r="G397" s="221">
        <v>0</v>
      </c>
      <c r="I397" s="220" t="s">
        <v>374</v>
      </c>
      <c r="K397" s="247">
        <v>5016.6499999999996</v>
      </c>
      <c r="L397" s="217">
        <f t="shared" si="35"/>
        <v>40133.199999999997</v>
      </c>
      <c r="M397" s="217">
        <v>2883.13</v>
      </c>
      <c r="N397" s="117">
        <f t="shared" si="36"/>
        <v>40133.199999999997</v>
      </c>
      <c r="P397" s="17">
        <f t="shared" si="34"/>
        <v>1069394.0113376309</v>
      </c>
      <c r="Q397" s="18"/>
      <c r="R397" s="240">
        <f t="shared" si="37"/>
        <v>3.8597349444518105E-4</v>
      </c>
      <c r="S397" s="223">
        <f t="shared" si="39"/>
        <v>43016.329999999994</v>
      </c>
      <c r="T397" s="157"/>
      <c r="U397" s="157"/>
      <c r="V397" s="246">
        <f t="shared" si="38"/>
        <v>1109527.2113376309</v>
      </c>
    </row>
    <row r="398" spans="1:22" s="19" customFormat="1" ht="18.75" customHeight="1" x14ac:dyDescent="0.2">
      <c r="A398" s="16"/>
      <c r="B398" s="16"/>
      <c r="C398" s="20" t="s">
        <v>582</v>
      </c>
      <c r="D398" s="19" t="s">
        <v>327</v>
      </c>
      <c r="E398" s="16" t="s">
        <v>4</v>
      </c>
      <c r="F398" s="221">
        <v>1</v>
      </c>
      <c r="G398" s="221">
        <v>0</v>
      </c>
      <c r="I398" s="220" t="s">
        <v>374</v>
      </c>
      <c r="K398" s="247">
        <v>4299.8500000000004</v>
      </c>
      <c r="L398" s="217">
        <f t="shared" si="35"/>
        <v>4299.8500000000004</v>
      </c>
      <c r="M398" s="217">
        <v>1430.78</v>
      </c>
      <c r="N398" s="117">
        <f t="shared" si="36"/>
        <v>4299.8500000000004</v>
      </c>
      <c r="P398" s="17">
        <f t="shared" si="34"/>
        <v>142464.53389193752</v>
      </c>
      <c r="Q398" s="18"/>
      <c r="R398" s="240">
        <f t="shared" si="37"/>
        <v>5.1419339736151087E-5</v>
      </c>
      <c r="S398" s="223">
        <f t="shared" si="39"/>
        <v>5730.63</v>
      </c>
      <c r="T398" s="157"/>
      <c r="U398" s="157"/>
      <c r="V398" s="246">
        <f t="shared" si="38"/>
        <v>146764.38389193753</v>
      </c>
    </row>
    <row r="399" spans="1:22" s="19" customFormat="1" ht="18.75" customHeight="1" x14ac:dyDescent="0.2">
      <c r="A399" s="16"/>
      <c r="B399" s="16"/>
      <c r="C399" s="20" t="s">
        <v>583</v>
      </c>
      <c r="D399" s="19" t="s">
        <v>328</v>
      </c>
      <c r="E399" s="16" t="s">
        <v>4</v>
      </c>
      <c r="F399" s="221">
        <v>1</v>
      </c>
      <c r="G399" s="221">
        <v>0</v>
      </c>
      <c r="I399" s="220" t="s">
        <v>374</v>
      </c>
      <c r="K399" s="247">
        <v>4985.8500000000004</v>
      </c>
      <c r="L399" s="217">
        <f t="shared" si="35"/>
        <v>4985.8500000000004</v>
      </c>
      <c r="M399" s="217">
        <v>2419.08</v>
      </c>
      <c r="N399" s="117">
        <f t="shared" si="36"/>
        <v>4985.8500000000004</v>
      </c>
      <c r="P399" s="17">
        <f t="shared" si="34"/>
        <v>184087.94512164019</v>
      </c>
      <c r="Q399" s="18"/>
      <c r="R399" s="240">
        <f t="shared" si="37"/>
        <v>6.6442365218556649E-5</v>
      </c>
      <c r="S399" s="223">
        <f t="shared" si="39"/>
        <v>7404.93</v>
      </c>
      <c r="T399" s="157"/>
      <c r="U399" s="157"/>
      <c r="V399" s="246">
        <f t="shared" si="38"/>
        <v>189073.7951216402</v>
      </c>
    </row>
    <row r="400" spans="1:22" s="19" customFormat="1" ht="18.75" customHeight="1" x14ac:dyDescent="0.2">
      <c r="A400" s="16"/>
      <c r="B400" s="16"/>
      <c r="C400" s="20" t="s">
        <v>584</v>
      </c>
      <c r="D400" s="19" t="s">
        <v>329</v>
      </c>
      <c r="E400" s="16" t="s">
        <v>4</v>
      </c>
      <c r="F400" s="221">
        <v>2</v>
      </c>
      <c r="G400" s="221">
        <v>0</v>
      </c>
      <c r="I400" s="220" t="s">
        <v>374</v>
      </c>
      <c r="K400" s="247">
        <v>4985.8500000000004</v>
      </c>
      <c r="L400" s="217">
        <f t="shared" si="35"/>
        <v>9971.7000000000007</v>
      </c>
      <c r="M400" s="217">
        <v>2419.08</v>
      </c>
      <c r="N400" s="117">
        <f t="shared" si="36"/>
        <v>9971.7000000000007</v>
      </c>
      <c r="P400" s="17">
        <f t="shared" ref="P400:P437" si="40">(+$U$11-$N$472)*R400</f>
        <v>308037.10887939751</v>
      </c>
      <c r="Q400" s="18"/>
      <c r="R400" s="240">
        <f t="shared" si="37"/>
        <v>1.111790023812227E-4</v>
      </c>
      <c r="S400" s="223">
        <f t="shared" si="39"/>
        <v>12390.78</v>
      </c>
      <c r="T400" s="157"/>
      <c r="U400" s="157"/>
      <c r="V400" s="246">
        <f t="shared" si="38"/>
        <v>318008.80887939752</v>
      </c>
    </row>
    <row r="401" spans="1:22" s="19" customFormat="1" ht="18.75" customHeight="1" x14ac:dyDescent="0.2">
      <c r="A401" s="16"/>
      <c r="B401" s="16"/>
      <c r="C401" s="20" t="s">
        <v>585</v>
      </c>
      <c r="D401" s="19" t="s">
        <v>330</v>
      </c>
      <c r="E401" s="16" t="s">
        <v>4</v>
      </c>
      <c r="F401" s="221">
        <v>5</v>
      </c>
      <c r="G401" s="221">
        <v>0</v>
      </c>
      <c r="I401" s="220" t="s">
        <v>374</v>
      </c>
      <c r="K401" s="247">
        <v>5028.95</v>
      </c>
      <c r="L401" s="217">
        <f t="shared" ref="L401:L437" si="41">+K401*F401</f>
        <v>25144.75</v>
      </c>
      <c r="M401" s="217">
        <v>2883.13</v>
      </c>
      <c r="N401" s="117">
        <f t="shared" ref="N401:N437" si="42">+L401</f>
        <v>25144.75</v>
      </c>
      <c r="P401" s="17">
        <f t="shared" si="40"/>
        <v>696778.34028355661</v>
      </c>
      <c r="Q401" s="18"/>
      <c r="R401" s="240">
        <f t="shared" ref="R401:R437" si="43">+S401/$S$472</f>
        <v>2.5148632590205169E-4</v>
      </c>
      <c r="S401" s="223">
        <f t="shared" si="39"/>
        <v>28027.88</v>
      </c>
      <c r="T401" s="157"/>
      <c r="U401" s="157"/>
      <c r="V401" s="246">
        <f t="shared" ref="V401:V437" si="44">+N401+P401</f>
        <v>721923.09028355661</v>
      </c>
    </row>
    <row r="402" spans="1:22" s="19" customFormat="1" ht="18.75" customHeight="1" x14ac:dyDescent="0.2">
      <c r="A402" s="16"/>
      <c r="B402" s="16"/>
      <c r="C402" s="20" t="s">
        <v>586</v>
      </c>
      <c r="D402" s="19" t="s">
        <v>331</v>
      </c>
      <c r="E402" s="16" t="s">
        <v>4</v>
      </c>
      <c r="F402" s="221">
        <v>2</v>
      </c>
      <c r="G402" s="221">
        <v>0</v>
      </c>
      <c r="I402" s="220" t="s">
        <v>374</v>
      </c>
      <c r="K402" s="247">
        <v>5252.05</v>
      </c>
      <c r="L402" s="217">
        <f t="shared" si="41"/>
        <v>10504.1</v>
      </c>
      <c r="M402" s="217">
        <v>9069.130000000001</v>
      </c>
      <c r="N402" s="117">
        <f t="shared" si="42"/>
        <v>10504.1</v>
      </c>
      <c r="P402" s="17">
        <f t="shared" si="40"/>
        <v>486594.15957925899</v>
      </c>
      <c r="Q402" s="18"/>
      <c r="R402" s="240">
        <f t="shared" si="43"/>
        <v>1.7562511680283403E-4</v>
      </c>
      <c r="S402" s="223">
        <f t="shared" ref="S402:S436" si="45">+L402+M402</f>
        <v>19573.230000000003</v>
      </c>
      <c r="T402" s="157"/>
      <c r="U402" s="157"/>
      <c r="V402" s="246">
        <f t="shared" si="44"/>
        <v>497098.25957925897</v>
      </c>
    </row>
    <row r="403" spans="1:22" s="19" customFormat="1" ht="18.75" customHeight="1" x14ac:dyDescent="0.2">
      <c r="A403" s="16"/>
      <c r="B403" s="16"/>
      <c r="C403" s="20" t="s">
        <v>587</v>
      </c>
      <c r="D403" s="19" t="s">
        <v>295</v>
      </c>
      <c r="E403" s="16" t="s">
        <v>4</v>
      </c>
      <c r="F403" s="221">
        <v>1</v>
      </c>
      <c r="G403" s="221">
        <v>0</v>
      </c>
      <c r="I403" s="220" t="s">
        <v>374</v>
      </c>
      <c r="K403" s="247">
        <v>4299.8500000000004</v>
      </c>
      <c r="L403" s="217">
        <f t="shared" si="41"/>
        <v>4299.8500000000004</v>
      </c>
      <c r="M403" s="217">
        <v>1430.78</v>
      </c>
      <c r="N403" s="117">
        <f t="shared" si="42"/>
        <v>4299.8500000000004</v>
      </c>
      <c r="P403" s="17">
        <f t="shared" si="40"/>
        <v>142464.53389193752</v>
      </c>
      <c r="Q403" s="18"/>
      <c r="R403" s="240">
        <f t="shared" si="43"/>
        <v>5.1419339736151087E-5</v>
      </c>
      <c r="S403" s="223">
        <f t="shared" si="45"/>
        <v>5730.63</v>
      </c>
      <c r="T403" s="157"/>
      <c r="U403" s="157"/>
      <c r="V403" s="246">
        <f t="shared" si="44"/>
        <v>146764.38389193753</v>
      </c>
    </row>
    <row r="404" spans="1:22" s="19" customFormat="1" ht="18.75" customHeight="1" x14ac:dyDescent="0.2">
      <c r="A404" s="16"/>
      <c r="B404" s="16"/>
      <c r="C404" s="20" t="s">
        <v>588</v>
      </c>
      <c r="D404" s="19" t="s">
        <v>332</v>
      </c>
      <c r="E404" s="16" t="s">
        <v>4</v>
      </c>
      <c r="F404" s="221">
        <v>1</v>
      </c>
      <c r="G404" s="221">
        <v>0</v>
      </c>
      <c r="I404" s="220" t="s">
        <v>374</v>
      </c>
      <c r="K404" s="247">
        <v>4299.8500000000004</v>
      </c>
      <c r="L404" s="217">
        <f t="shared" si="41"/>
        <v>4299.8500000000004</v>
      </c>
      <c r="M404" s="217">
        <v>1430.78</v>
      </c>
      <c r="N404" s="117">
        <f t="shared" si="42"/>
        <v>4299.8500000000004</v>
      </c>
      <c r="P404" s="17">
        <f t="shared" si="40"/>
        <v>142464.53389193752</v>
      </c>
      <c r="Q404" s="18"/>
      <c r="R404" s="240">
        <f t="shared" si="43"/>
        <v>5.1419339736151087E-5</v>
      </c>
      <c r="S404" s="223">
        <f t="shared" si="45"/>
        <v>5730.63</v>
      </c>
      <c r="T404" s="157"/>
      <c r="U404" s="157"/>
      <c r="V404" s="246">
        <f t="shared" si="44"/>
        <v>146764.38389193753</v>
      </c>
    </row>
    <row r="405" spans="1:22" s="19" customFormat="1" ht="18.75" customHeight="1" x14ac:dyDescent="0.2">
      <c r="A405" s="16"/>
      <c r="B405" s="16"/>
      <c r="C405" s="20" t="s">
        <v>589</v>
      </c>
      <c r="D405" s="19" t="s">
        <v>333</v>
      </c>
      <c r="E405" s="16" t="s">
        <v>4</v>
      </c>
      <c r="F405" s="221">
        <v>9</v>
      </c>
      <c r="G405" s="221">
        <v>0</v>
      </c>
      <c r="I405" s="220" t="s">
        <v>374</v>
      </c>
      <c r="K405" s="247">
        <v>5229.1000000000004</v>
      </c>
      <c r="L405" s="217">
        <f t="shared" si="41"/>
        <v>47061.9</v>
      </c>
      <c r="M405" s="217">
        <v>1382.63</v>
      </c>
      <c r="N405" s="117">
        <f t="shared" si="42"/>
        <v>47061.9</v>
      </c>
      <c r="P405" s="17">
        <f t="shared" si="40"/>
        <v>1204340.0788506647</v>
      </c>
      <c r="Q405" s="18"/>
      <c r="R405" s="240">
        <f t="shared" si="43"/>
        <v>4.3467921440193549E-4</v>
      </c>
      <c r="S405" s="223">
        <f t="shared" si="45"/>
        <v>48444.53</v>
      </c>
      <c r="T405" s="157"/>
      <c r="U405" s="157"/>
      <c r="V405" s="246">
        <f t="shared" si="44"/>
        <v>1251401.9788506646</v>
      </c>
    </row>
    <row r="406" spans="1:22" s="19" customFormat="1" ht="18.75" customHeight="1" x14ac:dyDescent="0.2">
      <c r="A406" s="16"/>
      <c r="B406" s="16"/>
      <c r="C406" s="20" t="s">
        <v>590</v>
      </c>
      <c r="D406" s="19" t="s">
        <v>334</v>
      </c>
      <c r="E406" s="16" t="s">
        <v>4</v>
      </c>
      <c r="F406" s="221">
        <v>1</v>
      </c>
      <c r="G406" s="221">
        <v>0</v>
      </c>
      <c r="I406" s="220" t="s">
        <v>374</v>
      </c>
      <c r="K406" s="247">
        <v>4299.8500000000004</v>
      </c>
      <c r="L406" s="217">
        <f t="shared" si="41"/>
        <v>4299.8500000000004</v>
      </c>
      <c r="M406" s="217">
        <v>1430.78</v>
      </c>
      <c r="N406" s="117">
        <f t="shared" si="42"/>
        <v>4299.8500000000004</v>
      </c>
      <c r="P406" s="17">
        <f t="shared" si="40"/>
        <v>142464.53389193752</v>
      </c>
      <c r="Q406" s="18"/>
      <c r="R406" s="240">
        <f t="shared" si="43"/>
        <v>5.1419339736151087E-5</v>
      </c>
      <c r="S406" s="223">
        <f t="shared" si="45"/>
        <v>5730.63</v>
      </c>
      <c r="T406" s="157"/>
      <c r="U406" s="157"/>
      <c r="V406" s="246">
        <f t="shared" si="44"/>
        <v>146764.38389193753</v>
      </c>
    </row>
    <row r="407" spans="1:22" s="19" customFormat="1" ht="18.75" customHeight="1" x14ac:dyDescent="0.2">
      <c r="A407" s="16"/>
      <c r="B407" s="16"/>
      <c r="C407" s="20" t="s">
        <v>591</v>
      </c>
      <c r="D407" s="19" t="s">
        <v>335</v>
      </c>
      <c r="E407" s="16" t="s">
        <v>4</v>
      </c>
      <c r="F407" s="221">
        <v>2</v>
      </c>
      <c r="G407" s="221">
        <v>0</v>
      </c>
      <c r="I407" s="220" t="s">
        <v>374</v>
      </c>
      <c r="K407" s="247">
        <v>3986.35</v>
      </c>
      <c r="L407" s="217">
        <f t="shared" si="41"/>
        <v>7972.7</v>
      </c>
      <c r="M407" s="217">
        <v>1410.03</v>
      </c>
      <c r="N407" s="117">
        <f t="shared" si="42"/>
        <v>7972.7</v>
      </c>
      <c r="P407" s="17">
        <f t="shared" si="40"/>
        <v>233256.4231304235</v>
      </c>
      <c r="Q407" s="18"/>
      <c r="R407" s="240">
        <f t="shared" si="43"/>
        <v>8.4188611291005852E-5</v>
      </c>
      <c r="S407" s="223">
        <f t="shared" si="45"/>
        <v>9382.73</v>
      </c>
      <c r="T407" s="157"/>
      <c r="U407" s="157"/>
      <c r="V407" s="246">
        <f t="shared" si="44"/>
        <v>241229.12313042351</v>
      </c>
    </row>
    <row r="408" spans="1:22" s="19" customFormat="1" ht="18.75" customHeight="1" x14ac:dyDescent="0.2">
      <c r="A408" s="16"/>
      <c r="B408" s="16"/>
      <c r="C408" s="20" t="s">
        <v>592</v>
      </c>
      <c r="D408" s="19" t="s">
        <v>336</v>
      </c>
      <c r="E408" s="16" t="s">
        <v>4</v>
      </c>
      <c r="F408" s="221">
        <v>45</v>
      </c>
      <c r="G408" s="221">
        <v>0</v>
      </c>
      <c r="I408" s="220" t="s">
        <v>374</v>
      </c>
      <c r="K408" s="247">
        <v>5771.65</v>
      </c>
      <c r="L408" s="217">
        <f t="shared" si="41"/>
        <v>259724.24999999997</v>
      </c>
      <c r="M408" s="217">
        <v>2419.08</v>
      </c>
      <c r="N408" s="117">
        <f t="shared" si="42"/>
        <v>259724.24999999997</v>
      </c>
      <c r="P408" s="17">
        <f t="shared" si="40"/>
        <v>6516932.2258338714</v>
      </c>
      <c r="Q408" s="18"/>
      <c r="R408" s="240">
        <f t="shared" si="43"/>
        <v>2.3521387604566978E-3</v>
      </c>
      <c r="S408" s="223">
        <f t="shared" si="45"/>
        <v>262143.32999999996</v>
      </c>
      <c r="T408" s="157"/>
      <c r="U408" s="157"/>
      <c r="V408" s="246">
        <f t="shared" si="44"/>
        <v>6776656.4758338714</v>
      </c>
    </row>
    <row r="409" spans="1:22" s="19" customFormat="1" ht="18.75" customHeight="1" x14ac:dyDescent="0.2">
      <c r="A409" s="16"/>
      <c r="B409" s="16"/>
      <c r="C409" s="20" t="s">
        <v>593</v>
      </c>
      <c r="D409" s="19" t="s">
        <v>337</v>
      </c>
      <c r="E409" s="16" t="s">
        <v>4</v>
      </c>
      <c r="F409" s="221">
        <v>4</v>
      </c>
      <c r="G409" s="221">
        <v>0</v>
      </c>
      <c r="I409" s="220" t="s">
        <v>374</v>
      </c>
      <c r="K409" s="247">
        <v>4171.75</v>
      </c>
      <c r="L409" s="217">
        <f t="shared" si="41"/>
        <v>16687</v>
      </c>
      <c r="M409" s="217">
        <v>1410.03</v>
      </c>
      <c r="N409" s="117">
        <f t="shared" si="42"/>
        <v>16687</v>
      </c>
      <c r="P409" s="17">
        <f t="shared" si="40"/>
        <v>449895.55141030042</v>
      </c>
      <c r="Q409" s="18"/>
      <c r="R409" s="240">
        <f t="shared" si="43"/>
        <v>1.6237958719814719E-4</v>
      </c>
      <c r="S409" s="223">
        <f t="shared" si="45"/>
        <v>18097.03</v>
      </c>
      <c r="T409" s="157"/>
      <c r="U409" s="157"/>
      <c r="V409" s="246">
        <f t="shared" si="44"/>
        <v>466582.55141030042</v>
      </c>
    </row>
    <row r="410" spans="1:22" s="19" customFormat="1" ht="18.75" customHeight="1" x14ac:dyDescent="0.2">
      <c r="A410" s="16"/>
      <c r="B410" s="16"/>
      <c r="C410" s="20" t="s">
        <v>594</v>
      </c>
      <c r="D410" s="19" t="s">
        <v>273</v>
      </c>
      <c r="E410" s="16" t="s">
        <v>4</v>
      </c>
      <c r="F410" s="221">
        <v>18</v>
      </c>
      <c r="G410" s="221">
        <v>0</v>
      </c>
      <c r="I410" s="220" t="s">
        <v>374</v>
      </c>
      <c r="K410" s="247">
        <v>3809.15</v>
      </c>
      <c r="L410" s="217">
        <f t="shared" si="41"/>
        <v>68564.7</v>
      </c>
      <c r="M410" s="217">
        <v>1410.03</v>
      </c>
      <c r="N410" s="117">
        <f t="shared" si="42"/>
        <v>68564.7</v>
      </c>
      <c r="P410" s="17">
        <f t="shared" si="40"/>
        <v>1739584.8787418099</v>
      </c>
      <c r="Q410" s="18"/>
      <c r="R410" s="240">
        <f t="shared" si="43"/>
        <v>6.2786367551481139E-4</v>
      </c>
      <c r="S410" s="223">
        <f t="shared" si="45"/>
        <v>69974.73</v>
      </c>
      <c r="T410" s="157"/>
      <c r="U410" s="157"/>
      <c r="V410" s="246">
        <f t="shared" si="44"/>
        <v>1808149.5787418098</v>
      </c>
    </row>
    <row r="411" spans="1:22" s="19" customFormat="1" ht="18.75" customHeight="1" x14ac:dyDescent="0.2">
      <c r="A411" s="16"/>
      <c r="B411" s="16"/>
      <c r="C411" s="20" t="s">
        <v>595</v>
      </c>
      <c r="D411" s="19" t="s">
        <v>274</v>
      </c>
      <c r="E411" s="16" t="s">
        <v>4</v>
      </c>
      <c r="F411" s="221">
        <v>11</v>
      </c>
      <c r="G411" s="221">
        <v>0</v>
      </c>
      <c r="I411" s="220" t="s">
        <v>374</v>
      </c>
      <c r="K411" s="247">
        <v>5094.8500000000004</v>
      </c>
      <c r="L411" s="217">
        <f t="shared" si="41"/>
        <v>56043.350000000006</v>
      </c>
      <c r="M411" s="217">
        <v>1430.78</v>
      </c>
      <c r="N411" s="117">
        <f t="shared" si="42"/>
        <v>56043.350000000006</v>
      </c>
      <c r="P411" s="17">
        <f t="shared" si="40"/>
        <v>1428817.6241171779</v>
      </c>
      <c r="Q411" s="18"/>
      <c r="R411" s="240">
        <f t="shared" si="43"/>
        <v>5.1569928899784377E-4</v>
      </c>
      <c r="S411" s="223">
        <f t="shared" si="45"/>
        <v>57474.130000000005</v>
      </c>
      <c r="T411" s="157"/>
      <c r="U411" s="157"/>
      <c r="V411" s="246">
        <f t="shared" si="44"/>
        <v>1484860.974117178</v>
      </c>
    </row>
    <row r="412" spans="1:22" s="19" customFormat="1" ht="18.75" customHeight="1" x14ac:dyDescent="0.2">
      <c r="A412" s="16"/>
      <c r="B412" s="16"/>
      <c r="C412" s="20" t="s">
        <v>596</v>
      </c>
      <c r="D412" s="19" t="s">
        <v>275</v>
      </c>
      <c r="E412" s="16" t="s">
        <v>4</v>
      </c>
      <c r="F412" s="221">
        <v>4</v>
      </c>
      <c r="G412" s="221">
        <v>0</v>
      </c>
      <c r="I412" s="220" t="s">
        <v>374</v>
      </c>
      <c r="K412" s="247">
        <v>5228.8999999999996</v>
      </c>
      <c r="L412" s="217">
        <f t="shared" si="41"/>
        <v>20915.599999999999</v>
      </c>
      <c r="M412" s="217">
        <v>1382.63</v>
      </c>
      <c r="N412" s="117">
        <f t="shared" si="42"/>
        <v>20915.599999999999</v>
      </c>
      <c r="P412" s="17">
        <f t="shared" si="40"/>
        <v>554338.1693749585</v>
      </c>
      <c r="Q412" s="18"/>
      <c r="R412" s="240">
        <f t="shared" si="43"/>
        <v>2.0007577943172676E-4</v>
      </c>
      <c r="S412" s="223">
        <f t="shared" si="45"/>
        <v>22298.23</v>
      </c>
      <c r="T412" s="157"/>
      <c r="U412" s="157"/>
      <c r="V412" s="246">
        <f t="shared" si="44"/>
        <v>575253.76937495847</v>
      </c>
    </row>
    <row r="413" spans="1:22" s="19" customFormat="1" ht="18.75" customHeight="1" x14ac:dyDescent="0.2">
      <c r="A413" s="16"/>
      <c r="B413" s="16"/>
      <c r="C413" s="20" t="s">
        <v>597</v>
      </c>
      <c r="D413" s="19" t="s">
        <v>338</v>
      </c>
      <c r="E413" s="16" t="s">
        <v>4</v>
      </c>
      <c r="F413" s="221">
        <v>26</v>
      </c>
      <c r="G413" s="221">
        <v>0</v>
      </c>
      <c r="I413" s="220" t="s">
        <v>374</v>
      </c>
      <c r="K413" s="247">
        <v>3672.95</v>
      </c>
      <c r="L413" s="217">
        <f t="shared" si="41"/>
        <v>95496.7</v>
      </c>
      <c r="M413" s="217">
        <v>1410.03</v>
      </c>
      <c r="N413" s="117">
        <f t="shared" si="42"/>
        <v>95496.7</v>
      </c>
      <c r="P413" s="17">
        <f t="shared" si="40"/>
        <v>2409119.4372070502</v>
      </c>
      <c r="Q413" s="18"/>
      <c r="R413" s="240">
        <f t="shared" si="43"/>
        <v>8.6951697677034893E-4</v>
      </c>
      <c r="S413" s="223">
        <f t="shared" si="45"/>
        <v>96906.73</v>
      </c>
      <c r="T413" s="157"/>
      <c r="U413" s="157"/>
      <c r="V413" s="246">
        <f t="shared" si="44"/>
        <v>2504616.1372070503</v>
      </c>
    </row>
    <row r="414" spans="1:22" s="19" customFormat="1" ht="18.75" customHeight="1" x14ac:dyDescent="0.2">
      <c r="A414" s="16"/>
      <c r="B414" s="16"/>
      <c r="C414" s="20" t="s">
        <v>598</v>
      </c>
      <c r="D414" s="19" t="s">
        <v>341</v>
      </c>
      <c r="E414" s="16" t="s">
        <v>4</v>
      </c>
      <c r="F414" s="221">
        <v>6</v>
      </c>
      <c r="G414" s="221">
        <v>0</v>
      </c>
      <c r="I414" s="220" t="s">
        <v>374</v>
      </c>
      <c r="K414" s="247">
        <v>3986.35</v>
      </c>
      <c r="L414" s="217">
        <f t="shared" si="41"/>
        <v>23918.1</v>
      </c>
      <c r="M414" s="217">
        <v>1410.03</v>
      </c>
      <c r="N414" s="117">
        <f t="shared" si="42"/>
        <v>23918.1</v>
      </c>
      <c r="P414" s="17">
        <f t="shared" si="40"/>
        <v>629662.05021165207</v>
      </c>
      <c r="Q414" s="18"/>
      <c r="R414" s="240">
        <f t="shared" si="43"/>
        <v>2.2726222445898625E-4</v>
      </c>
      <c r="S414" s="223">
        <f t="shared" si="45"/>
        <v>25328.129999999997</v>
      </c>
      <c r="T414" s="157"/>
      <c r="U414" s="157"/>
      <c r="V414" s="246">
        <f t="shared" si="44"/>
        <v>653580.15021165204</v>
      </c>
    </row>
    <row r="415" spans="1:22" s="19" customFormat="1" ht="18.75" customHeight="1" x14ac:dyDescent="0.2">
      <c r="A415" s="16"/>
      <c r="B415" s="16"/>
      <c r="C415" s="20" t="s">
        <v>599</v>
      </c>
      <c r="D415" s="19" t="s">
        <v>313</v>
      </c>
      <c r="E415" s="16" t="s">
        <v>4</v>
      </c>
      <c r="F415" s="221">
        <v>2</v>
      </c>
      <c r="G415" s="221">
        <v>0</v>
      </c>
      <c r="I415" s="220" t="s">
        <v>374</v>
      </c>
      <c r="K415" s="247">
        <v>16345.8</v>
      </c>
      <c r="L415" s="217">
        <f t="shared" si="41"/>
        <v>32691.599999999999</v>
      </c>
      <c r="M415" s="217">
        <v>669.40000000000009</v>
      </c>
      <c r="N415" s="117">
        <f t="shared" si="42"/>
        <v>32691.599999999999</v>
      </c>
      <c r="P415" s="17">
        <f t="shared" si="40"/>
        <v>829360.70120892941</v>
      </c>
      <c r="Q415" s="18"/>
      <c r="R415" s="240">
        <f t="shared" si="43"/>
        <v>2.9933891961926286E-4</v>
      </c>
      <c r="S415" s="223">
        <f t="shared" si="45"/>
        <v>33361</v>
      </c>
      <c r="T415" s="157"/>
      <c r="U415" s="157"/>
      <c r="V415" s="246">
        <f t="shared" si="44"/>
        <v>862052.30120892939</v>
      </c>
    </row>
    <row r="416" spans="1:22" s="19" customFormat="1" ht="18.75" customHeight="1" x14ac:dyDescent="0.2">
      <c r="A416" s="16"/>
      <c r="B416" s="16"/>
      <c r="C416" s="20" t="s">
        <v>600</v>
      </c>
      <c r="D416" s="19" t="s">
        <v>314</v>
      </c>
      <c r="E416" s="16" t="s">
        <v>4</v>
      </c>
      <c r="F416" s="221">
        <v>1</v>
      </c>
      <c r="G416" s="221">
        <v>0</v>
      </c>
      <c r="I416" s="220" t="s">
        <v>374</v>
      </c>
      <c r="K416" s="247">
        <v>15602.8</v>
      </c>
      <c r="L416" s="217">
        <f t="shared" si="41"/>
        <v>15602.8</v>
      </c>
      <c r="M416" s="217">
        <v>669.40000000000009</v>
      </c>
      <c r="N416" s="117">
        <f t="shared" si="42"/>
        <v>15602.8</v>
      </c>
      <c r="P416" s="17">
        <f t="shared" si="40"/>
        <v>404529.93621929624</v>
      </c>
      <c r="Q416" s="18"/>
      <c r="R416" s="240">
        <f t="shared" si="43"/>
        <v>1.4600589813940136E-4</v>
      </c>
      <c r="S416" s="223">
        <f t="shared" si="45"/>
        <v>16272.199999999999</v>
      </c>
      <c r="T416" s="157"/>
      <c r="U416" s="157"/>
      <c r="V416" s="246">
        <f t="shared" si="44"/>
        <v>420132.73621929623</v>
      </c>
    </row>
    <row r="417" spans="1:22" s="19" customFormat="1" ht="18.75" customHeight="1" x14ac:dyDescent="0.2">
      <c r="A417" s="16"/>
      <c r="B417" s="16"/>
      <c r="C417" s="20" t="s">
        <v>601</v>
      </c>
      <c r="D417" s="19" t="s">
        <v>315</v>
      </c>
      <c r="E417" s="16" t="s">
        <v>4</v>
      </c>
      <c r="F417" s="221">
        <v>16</v>
      </c>
      <c r="G417" s="221">
        <v>0</v>
      </c>
      <c r="I417" s="220" t="s">
        <v>374</v>
      </c>
      <c r="K417" s="247">
        <v>11144.85</v>
      </c>
      <c r="L417" s="217">
        <f t="shared" si="41"/>
        <v>178317.6</v>
      </c>
      <c r="M417" s="217">
        <v>669.40000000000009</v>
      </c>
      <c r="N417" s="117">
        <f t="shared" si="42"/>
        <v>178317.6</v>
      </c>
      <c r="P417" s="17">
        <f t="shared" si="40"/>
        <v>4449650.3050652761</v>
      </c>
      <c r="Q417" s="18"/>
      <c r="R417" s="240">
        <f t="shared" si="43"/>
        <v>1.6060002759477536E-3</v>
      </c>
      <c r="S417" s="223">
        <f t="shared" si="45"/>
        <v>178987</v>
      </c>
      <c r="T417" s="157"/>
      <c r="U417" s="157"/>
      <c r="V417" s="246">
        <f t="shared" si="44"/>
        <v>4627967.9050652757</v>
      </c>
    </row>
    <row r="418" spans="1:22" s="19" customFormat="1" ht="18.75" customHeight="1" x14ac:dyDescent="0.2">
      <c r="A418" s="16"/>
      <c r="B418" s="16"/>
      <c r="C418" s="20" t="s">
        <v>602</v>
      </c>
      <c r="D418" s="19" t="s">
        <v>316</v>
      </c>
      <c r="E418" s="16" t="s">
        <v>4</v>
      </c>
      <c r="F418" s="221">
        <v>11</v>
      </c>
      <c r="G418" s="221">
        <v>0</v>
      </c>
      <c r="I418" s="220" t="s">
        <v>374</v>
      </c>
      <c r="K418" s="247">
        <v>8915.9</v>
      </c>
      <c r="L418" s="217">
        <f t="shared" si="41"/>
        <v>98074.9</v>
      </c>
      <c r="M418" s="217">
        <v>669.40000000000009</v>
      </c>
      <c r="N418" s="117">
        <f t="shared" si="42"/>
        <v>98074.9</v>
      </c>
      <c r="P418" s="17">
        <f t="shared" si="40"/>
        <v>2454801.7711814661</v>
      </c>
      <c r="Q418" s="18"/>
      <c r="R418" s="240">
        <f t="shared" si="43"/>
        <v>8.8600497828483489E-4</v>
      </c>
      <c r="S418" s="223">
        <f t="shared" si="45"/>
        <v>98744.299999999988</v>
      </c>
      <c r="T418" s="157"/>
      <c r="U418" s="157"/>
      <c r="V418" s="246">
        <f t="shared" si="44"/>
        <v>2552876.671181466</v>
      </c>
    </row>
    <row r="419" spans="1:22" s="19" customFormat="1" ht="18.75" customHeight="1" x14ac:dyDescent="0.2">
      <c r="A419" s="16"/>
      <c r="B419" s="16"/>
      <c r="C419" s="20" t="s">
        <v>603</v>
      </c>
      <c r="D419" s="19" t="s">
        <v>339</v>
      </c>
      <c r="E419" s="16" t="s">
        <v>4</v>
      </c>
      <c r="F419" s="221">
        <v>1</v>
      </c>
      <c r="G419" s="221">
        <v>0</v>
      </c>
      <c r="I419" s="220" t="s">
        <v>374</v>
      </c>
      <c r="K419" s="247">
        <v>23775.65</v>
      </c>
      <c r="L419" s="217">
        <f t="shared" si="41"/>
        <v>23775.65</v>
      </c>
      <c r="M419" s="217">
        <v>669.40000000000009</v>
      </c>
      <c r="N419" s="117">
        <f t="shared" si="42"/>
        <v>23775.65</v>
      </c>
      <c r="P419" s="17">
        <f t="shared" si="40"/>
        <v>607708.51620417088</v>
      </c>
      <c r="Q419" s="18"/>
      <c r="R419" s="240">
        <f t="shared" si="43"/>
        <v>2.1933859467758351E-4</v>
      </c>
      <c r="S419" s="223">
        <f t="shared" si="45"/>
        <v>24445.050000000003</v>
      </c>
      <c r="T419" s="157"/>
      <c r="U419" s="157"/>
      <c r="V419" s="246">
        <f t="shared" si="44"/>
        <v>631484.16620417091</v>
      </c>
    </row>
    <row r="420" spans="1:22" s="19" customFormat="1" ht="18.75" customHeight="1" x14ac:dyDescent="0.2">
      <c r="A420" s="16"/>
      <c r="B420" s="16"/>
      <c r="C420" s="20" t="s">
        <v>604</v>
      </c>
      <c r="D420" s="19" t="s">
        <v>340</v>
      </c>
      <c r="E420" s="16" t="s">
        <v>4</v>
      </c>
      <c r="F420" s="221">
        <v>1</v>
      </c>
      <c r="G420" s="221">
        <v>0</v>
      </c>
      <c r="I420" s="220" t="s">
        <v>374</v>
      </c>
      <c r="K420" s="247">
        <v>16345.8</v>
      </c>
      <c r="L420" s="217">
        <f t="shared" si="41"/>
        <v>16345.8</v>
      </c>
      <c r="M420" s="217">
        <v>669.40000000000009</v>
      </c>
      <c r="N420" s="117">
        <f t="shared" si="42"/>
        <v>16345.8</v>
      </c>
      <c r="P420" s="17">
        <f t="shared" si="40"/>
        <v>423001.05522047234</v>
      </c>
      <c r="Q420" s="18"/>
      <c r="R420" s="240">
        <f t="shared" si="43"/>
        <v>1.5267262927087563E-4</v>
      </c>
      <c r="S420" s="223">
        <f t="shared" si="45"/>
        <v>17015.2</v>
      </c>
      <c r="T420" s="157"/>
      <c r="U420" s="157"/>
      <c r="V420" s="246">
        <f t="shared" si="44"/>
        <v>439346.85522047232</v>
      </c>
    </row>
    <row r="421" spans="1:22" s="19" customFormat="1" ht="18.75" customHeight="1" x14ac:dyDescent="0.2">
      <c r="A421" s="16"/>
      <c r="B421" s="16"/>
      <c r="C421" s="20" t="s">
        <v>605</v>
      </c>
      <c r="D421" s="19" t="s">
        <v>606</v>
      </c>
      <c r="E421" s="16" t="s">
        <v>4</v>
      </c>
      <c r="F421" s="221">
        <v>2</v>
      </c>
      <c r="G421" s="221">
        <v>0</v>
      </c>
      <c r="I421" s="220" t="s">
        <v>374</v>
      </c>
      <c r="K421" s="247">
        <v>8036.7</v>
      </c>
      <c r="L421" s="217">
        <f t="shared" si="41"/>
        <v>16073.4</v>
      </c>
      <c r="M421" s="217">
        <v>197.48</v>
      </c>
      <c r="N421" s="117">
        <f t="shared" si="42"/>
        <v>16073.4</v>
      </c>
      <c r="P421" s="17">
        <f t="shared" si="40"/>
        <v>404497.12077234936</v>
      </c>
      <c r="Q421" s="18"/>
      <c r="R421" s="240">
        <f t="shared" si="43"/>
        <v>1.4599405414869674E-4</v>
      </c>
      <c r="S421" s="223">
        <f t="shared" si="45"/>
        <v>16270.88</v>
      </c>
      <c r="T421" s="157"/>
      <c r="U421" s="157"/>
      <c r="V421" s="246">
        <f t="shared" si="44"/>
        <v>420570.52077234938</v>
      </c>
    </row>
    <row r="422" spans="1:22" s="19" customFormat="1" ht="18.75" customHeight="1" x14ac:dyDescent="0.2">
      <c r="A422" s="16"/>
      <c r="B422" s="16"/>
      <c r="C422" s="20" t="s">
        <v>607</v>
      </c>
      <c r="D422" s="19" t="s">
        <v>608</v>
      </c>
      <c r="E422" s="16" t="s">
        <v>4</v>
      </c>
      <c r="F422" s="221">
        <v>1</v>
      </c>
      <c r="G422" s="221">
        <v>0</v>
      </c>
      <c r="I422" s="220" t="s">
        <v>374</v>
      </c>
      <c r="K422" s="247">
        <v>9349</v>
      </c>
      <c r="L422" s="217">
        <f t="shared" si="41"/>
        <v>9349</v>
      </c>
      <c r="M422" s="217">
        <v>254.91000000000003</v>
      </c>
      <c r="N422" s="117">
        <f t="shared" si="42"/>
        <v>9349</v>
      </c>
      <c r="P422" s="17">
        <f t="shared" si="40"/>
        <v>238754.99930899704</v>
      </c>
      <c r="Q422" s="18"/>
      <c r="R422" s="240">
        <f t="shared" si="43"/>
        <v>8.6173197551651175E-5</v>
      </c>
      <c r="S422" s="223">
        <f t="shared" si="45"/>
        <v>9603.91</v>
      </c>
      <c r="T422" s="157"/>
      <c r="U422" s="157"/>
      <c r="V422" s="246">
        <f t="shared" si="44"/>
        <v>248103.99930899704</v>
      </c>
    </row>
    <row r="423" spans="1:22" s="19" customFormat="1" ht="18.75" customHeight="1" x14ac:dyDescent="0.2">
      <c r="A423" s="16"/>
      <c r="B423" s="16"/>
      <c r="C423" s="20" t="s">
        <v>609</v>
      </c>
      <c r="D423" s="19" t="s">
        <v>263</v>
      </c>
      <c r="E423" s="16" t="s">
        <v>4</v>
      </c>
      <c r="F423" s="221">
        <v>1</v>
      </c>
      <c r="G423" s="221">
        <v>0</v>
      </c>
      <c r="I423" s="220" t="s">
        <v>374</v>
      </c>
      <c r="K423" s="247">
        <v>10483.5</v>
      </c>
      <c r="L423" s="217">
        <f t="shared" si="41"/>
        <v>10483.5</v>
      </c>
      <c r="M423" s="217">
        <v>283.11</v>
      </c>
      <c r="N423" s="117">
        <f t="shared" si="42"/>
        <v>10483.5</v>
      </c>
      <c r="P423" s="17">
        <f t="shared" si="40"/>
        <v>267659.93882806494</v>
      </c>
      <c r="Q423" s="18"/>
      <c r="R423" s="240">
        <f t="shared" si="43"/>
        <v>9.6605779363986461E-5</v>
      </c>
      <c r="S423" s="223">
        <f t="shared" si="45"/>
        <v>10766.61</v>
      </c>
      <c r="T423" s="157"/>
      <c r="U423" s="157"/>
      <c r="V423" s="246">
        <f t="shared" si="44"/>
        <v>278143.43882806494</v>
      </c>
    </row>
    <row r="424" spans="1:22" s="19" customFormat="1" ht="18.75" customHeight="1" x14ac:dyDescent="0.2">
      <c r="A424" s="16"/>
      <c r="B424" s="16"/>
      <c r="C424" s="20" t="s">
        <v>610</v>
      </c>
      <c r="D424" s="19" t="s">
        <v>264</v>
      </c>
      <c r="E424" s="16" t="s">
        <v>4</v>
      </c>
      <c r="F424" s="221">
        <v>2</v>
      </c>
      <c r="G424" s="221">
        <v>0</v>
      </c>
      <c r="I424" s="220" t="s">
        <v>374</v>
      </c>
      <c r="K424" s="247">
        <v>11745.75</v>
      </c>
      <c r="L424" s="217">
        <f t="shared" si="41"/>
        <v>23491.5</v>
      </c>
      <c r="M424" s="217">
        <v>318.2</v>
      </c>
      <c r="N424" s="117">
        <f t="shared" si="42"/>
        <v>23491.5</v>
      </c>
      <c r="P424" s="17">
        <f t="shared" si="40"/>
        <v>591913.59634226339</v>
      </c>
      <c r="Q424" s="18"/>
      <c r="R424" s="240">
        <f t="shared" si="43"/>
        <v>2.1363777687895337E-4</v>
      </c>
      <c r="S424" s="223">
        <f t="shared" si="45"/>
        <v>23809.7</v>
      </c>
      <c r="T424" s="157"/>
      <c r="U424" s="157"/>
      <c r="V424" s="246">
        <f t="shared" si="44"/>
        <v>615405.09634226339</v>
      </c>
    </row>
    <row r="425" spans="1:22" s="19" customFormat="1" ht="18.75" customHeight="1" x14ac:dyDescent="0.2">
      <c r="A425" s="16"/>
      <c r="B425" s="16"/>
      <c r="C425" s="20" t="s">
        <v>611</v>
      </c>
      <c r="D425" s="19" t="s">
        <v>265</v>
      </c>
      <c r="E425" s="16" t="s">
        <v>4</v>
      </c>
      <c r="F425" s="221">
        <v>1</v>
      </c>
      <c r="G425" s="221">
        <v>0</v>
      </c>
      <c r="I425" s="220" t="s">
        <v>374</v>
      </c>
      <c r="K425" s="247">
        <v>13578.55</v>
      </c>
      <c r="L425" s="217">
        <f t="shared" si="41"/>
        <v>13578.55</v>
      </c>
      <c r="M425" s="217">
        <v>353.21</v>
      </c>
      <c r="N425" s="117">
        <f t="shared" si="42"/>
        <v>13578.55</v>
      </c>
      <c r="P425" s="17">
        <f t="shared" si="40"/>
        <v>346346.15996746247</v>
      </c>
      <c r="Q425" s="18"/>
      <c r="R425" s="240">
        <f t="shared" si="43"/>
        <v>1.2500578480245981E-4</v>
      </c>
      <c r="S425" s="223">
        <f t="shared" si="45"/>
        <v>13931.759999999998</v>
      </c>
      <c r="T425" s="157"/>
      <c r="U425" s="157"/>
      <c r="V425" s="246">
        <f t="shared" si="44"/>
        <v>359924.70996746246</v>
      </c>
    </row>
    <row r="426" spans="1:22" s="19" customFormat="1" ht="18.75" customHeight="1" x14ac:dyDescent="0.2">
      <c r="A426" s="16"/>
      <c r="B426" s="16"/>
      <c r="C426" s="20" t="s">
        <v>612</v>
      </c>
      <c r="D426" s="16" t="s">
        <v>266</v>
      </c>
      <c r="E426" s="16" t="s">
        <v>4</v>
      </c>
      <c r="F426" s="221">
        <v>1</v>
      </c>
      <c r="G426" s="222">
        <v>0</v>
      </c>
      <c r="H426" s="16"/>
      <c r="I426" s="220" t="s">
        <v>374</v>
      </c>
      <c r="J426" s="16"/>
      <c r="K426" s="244">
        <v>16073.2</v>
      </c>
      <c r="L426" s="217">
        <f t="shared" si="41"/>
        <v>16073.2</v>
      </c>
      <c r="M426" s="217">
        <v>394.96000000000004</v>
      </c>
      <c r="N426" s="117">
        <f t="shared" si="42"/>
        <v>16073.2</v>
      </c>
      <c r="O426" s="16"/>
      <c r="P426" s="17">
        <f t="shared" si="40"/>
        <v>409401.53847968718</v>
      </c>
      <c r="Q426" s="18"/>
      <c r="R426" s="240">
        <f t="shared" si="43"/>
        <v>1.4776419239582626E-4</v>
      </c>
      <c r="S426" s="223">
        <f t="shared" si="45"/>
        <v>16468.16</v>
      </c>
      <c r="T426" s="157"/>
      <c r="U426" s="157"/>
      <c r="V426" s="246">
        <f t="shared" si="44"/>
        <v>425474.73847968719</v>
      </c>
    </row>
    <row r="427" spans="1:22" s="19" customFormat="1" ht="18.75" customHeight="1" x14ac:dyDescent="0.2">
      <c r="A427" s="16"/>
      <c r="B427" s="16"/>
      <c r="C427" s="20" t="s">
        <v>613</v>
      </c>
      <c r="D427" s="19" t="s">
        <v>267</v>
      </c>
      <c r="E427" s="16" t="s">
        <v>4</v>
      </c>
      <c r="F427" s="221">
        <v>7</v>
      </c>
      <c r="G427" s="221">
        <v>0</v>
      </c>
      <c r="I427" s="220" t="s">
        <v>374</v>
      </c>
      <c r="K427" s="247">
        <v>18841.5</v>
      </c>
      <c r="L427" s="217">
        <f t="shared" si="41"/>
        <v>131890.5</v>
      </c>
      <c r="M427" s="217">
        <v>443.77000000000004</v>
      </c>
      <c r="N427" s="117">
        <f t="shared" si="42"/>
        <v>131890.5</v>
      </c>
      <c r="P427" s="17">
        <f t="shared" si="40"/>
        <v>3289854.7094263299</v>
      </c>
      <c r="Q427" s="18"/>
      <c r="R427" s="240">
        <f t="shared" si="43"/>
        <v>1.1873983816553409E-3</v>
      </c>
      <c r="S427" s="223">
        <f t="shared" si="45"/>
        <v>132334.26999999999</v>
      </c>
      <c r="T427" s="157"/>
      <c r="U427" s="157"/>
      <c r="V427" s="246">
        <f t="shared" si="44"/>
        <v>3421745.2094263299</v>
      </c>
    </row>
    <row r="428" spans="1:22" s="19" customFormat="1" ht="18.75" customHeight="1" x14ac:dyDescent="0.2">
      <c r="A428" s="16"/>
      <c r="B428" s="16"/>
      <c r="C428" s="20" t="s">
        <v>614</v>
      </c>
      <c r="D428" s="16" t="s">
        <v>268</v>
      </c>
      <c r="E428" s="16" t="s">
        <v>4</v>
      </c>
      <c r="F428" s="222">
        <v>1</v>
      </c>
      <c r="G428" s="222">
        <v>0</v>
      </c>
      <c r="H428" s="16"/>
      <c r="I428" s="220" t="s">
        <v>374</v>
      </c>
      <c r="J428" s="16"/>
      <c r="K428" s="244">
        <v>4902.5</v>
      </c>
      <c r="L428" s="217">
        <f t="shared" si="41"/>
        <v>4902.5</v>
      </c>
      <c r="M428" s="217">
        <v>227.56</v>
      </c>
      <c r="N428" s="117">
        <f t="shared" si="42"/>
        <v>4902.5</v>
      </c>
      <c r="O428" s="16"/>
      <c r="P428" s="17">
        <f t="shared" si="40"/>
        <v>127534.25133670698</v>
      </c>
      <c r="Q428" s="18"/>
      <c r="R428" s="240">
        <f t="shared" si="43"/>
        <v>4.6030593147147743E-5</v>
      </c>
      <c r="S428" s="223">
        <f t="shared" si="45"/>
        <v>5130.0600000000004</v>
      </c>
      <c r="T428" s="157"/>
      <c r="U428" s="157"/>
      <c r="V428" s="246">
        <f t="shared" si="44"/>
        <v>132436.75133670698</v>
      </c>
    </row>
    <row r="429" spans="1:22" s="19" customFormat="1" ht="18.75" customHeight="1" x14ac:dyDescent="0.2">
      <c r="A429" s="16"/>
      <c r="B429" s="16"/>
      <c r="C429" s="20" t="s">
        <v>615</v>
      </c>
      <c r="D429" s="20" t="s">
        <v>269</v>
      </c>
      <c r="E429" s="16" t="s">
        <v>4</v>
      </c>
      <c r="F429" s="222">
        <v>0</v>
      </c>
      <c r="G429" s="222">
        <v>306</v>
      </c>
      <c r="H429" s="20"/>
      <c r="I429" s="220" t="s">
        <v>374</v>
      </c>
      <c r="J429" s="20"/>
      <c r="K429" s="244">
        <v>237.25</v>
      </c>
      <c r="L429" s="217">
        <f>+K429*G429</f>
        <v>72598.5</v>
      </c>
      <c r="M429" s="217">
        <v>6.56</v>
      </c>
      <c r="N429" s="117">
        <f t="shared" si="42"/>
        <v>72598.5</v>
      </c>
      <c r="O429" s="20"/>
      <c r="P429" s="17">
        <f t="shared" si="40"/>
        <v>1804975.374626552</v>
      </c>
      <c r="Q429" s="18"/>
      <c r="R429" s="240">
        <f t="shared" si="43"/>
        <v>6.5146489071945559E-4</v>
      </c>
      <c r="S429" s="223">
        <f t="shared" si="45"/>
        <v>72605.06</v>
      </c>
      <c r="T429" s="157"/>
      <c r="U429" s="157"/>
      <c r="V429" s="246">
        <f t="shared" si="44"/>
        <v>1877573.874626552</v>
      </c>
    </row>
    <row r="430" spans="1:22" s="19" customFormat="1" ht="18.75" customHeight="1" x14ac:dyDescent="0.2">
      <c r="A430" s="16"/>
      <c r="B430" s="16"/>
      <c r="C430" s="20" t="s">
        <v>616</v>
      </c>
      <c r="D430" s="20" t="s">
        <v>270</v>
      </c>
      <c r="E430" s="16" t="s">
        <v>4</v>
      </c>
      <c r="F430" s="222">
        <v>0</v>
      </c>
      <c r="G430" s="222">
        <v>110</v>
      </c>
      <c r="H430" s="20"/>
      <c r="I430" s="220" t="s">
        <v>374</v>
      </c>
      <c r="J430" s="20"/>
      <c r="K430" s="244">
        <v>270.5</v>
      </c>
      <c r="L430" s="217">
        <f>+K430*G430</f>
        <v>29755</v>
      </c>
      <c r="M430" s="217">
        <v>7.2700000000000005</v>
      </c>
      <c r="N430" s="117">
        <f t="shared" si="42"/>
        <v>29755</v>
      </c>
      <c r="O430" s="20"/>
      <c r="P430" s="17">
        <f t="shared" si="40"/>
        <v>739895.60015495599</v>
      </c>
      <c r="Q430" s="18"/>
      <c r="R430" s="240">
        <f t="shared" si="43"/>
        <v>2.6704852214312516E-4</v>
      </c>
      <c r="S430" s="223">
        <f t="shared" si="45"/>
        <v>29762.27</v>
      </c>
      <c r="T430" s="157"/>
      <c r="U430" s="157"/>
      <c r="V430" s="246">
        <f t="shared" si="44"/>
        <v>769650.60015495599</v>
      </c>
    </row>
    <row r="431" spans="1:22" s="19" customFormat="1" ht="18.75" customHeight="1" x14ac:dyDescent="0.2">
      <c r="A431" s="16"/>
      <c r="B431" s="16"/>
      <c r="C431" s="20" t="s">
        <v>617</v>
      </c>
      <c r="D431" s="20" t="s">
        <v>272</v>
      </c>
      <c r="E431" s="16" t="s">
        <v>4</v>
      </c>
      <c r="F431" s="222">
        <v>2</v>
      </c>
      <c r="G431" s="222">
        <v>0</v>
      </c>
      <c r="H431" s="20"/>
      <c r="I431" s="220" t="s">
        <v>374</v>
      </c>
      <c r="J431" s="20"/>
      <c r="K431" s="244">
        <v>4273.8999999999996</v>
      </c>
      <c r="L431" s="217">
        <f t="shared" si="41"/>
        <v>8547.7999999999993</v>
      </c>
      <c r="M431" s="217">
        <v>79.75</v>
      </c>
      <c r="N431" s="117">
        <f t="shared" si="42"/>
        <v>8547.7999999999993</v>
      </c>
      <c r="O431" s="20"/>
      <c r="P431" s="17">
        <f t="shared" si="40"/>
        <v>214482.50705060095</v>
      </c>
      <c r="Q431" s="18"/>
      <c r="R431" s="240">
        <f t="shared" si="43"/>
        <v>7.7412592427120622E-5</v>
      </c>
      <c r="S431" s="223">
        <f t="shared" si="45"/>
        <v>8627.5499999999993</v>
      </c>
      <c r="T431" s="157"/>
      <c r="U431" s="157"/>
      <c r="V431" s="246">
        <f t="shared" si="44"/>
        <v>223030.30705060094</v>
      </c>
    </row>
    <row r="432" spans="1:22" s="19" customFormat="1" ht="18.75" customHeight="1" x14ac:dyDescent="0.2">
      <c r="A432" s="16"/>
      <c r="B432" s="16"/>
      <c r="C432" s="20" t="s">
        <v>618</v>
      </c>
      <c r="D432" s="20" t="s">
        <v>271</v>
      </c>
      <c r="E432" s="16" t="s">
        <v>4</v>
      </c>
      <c r="F432" s="222">
        <v>2</v>
      </c>
      <c r="G432" s="222">
        <v>0</v>
      </c>
      <c r="H432" s="20"/>
      <c r="I432" s="220" t="s">
        <v>374</v>
      </c>
      <c r="J432" s="20"/>
      <c r="K432" s="244">
        <v>3663.75</v>
      </c>
      <c r="L432" s="217">
        <f t="shared" si="41"/>
        <v>7327.5</v>
      </c>
      <c r="M432" s="217">
        <v>84.5</v>
      </c>
      <c r="N432" s="117">
        <f t="shared" si="42"/>
        <v>7327.5</v>
      </c>
      <c r="O432" s="20"/>
      <c r="P432" s="17">
        <f t="shared" si="40"/>
        <v>184263.70664430279</v>
      </c>
      <c r="Q432" s="18"/>
      <c r="R432" s="240">
        <f t="shared" si="43"/>
        <v>6.6505802350588301E-5</v>
      </c>
      <c r="S432" s="223">
        <f t="shared" si="45"/>
        <v>7412</v>
      </c>
      <c r="T432" s="157"/>
      <c r="U432" s="157"/>
      <c r="V432" s="246">
        <f t="shared" si="44"/>
        <v>191591.20664430279</v>
      </c>
    </row>
    <row r="433" spans="1:22" s="19" customFormat="1" ht="18.75" customHeight="1" x14ac:dyDescent="0.2">
      <c r="A433" s="16"/>
      <c r="B433" s="16"/>
      <c r="C433" s="20" t="s">
        <v>619</v>
      </c>
      <c r="D433" s="20" t="s">
        <v>352</v>
      </c>
      <c r="E433" s="16" t="s">
        <v>4</v>
      </c>
      <c r="F433" s="222">
        <v>3</v>
      </c>
      <c r="G433" s="222">
        <v>0</v>
      </c>
      <c r="H433" s="20"/>
      <c r="I433" s="220" t="s">
        <v>374</v>
      </c>
      <c r="J433" s="20"/>
      <c r="K433" s="244">
        <v>4709.3999999999996</v>
      </c>
      <c r="L433" s="217">
        <f t="shared" si="41"/>
        <v>14128.199999999999</v>
      </c>
      <c r="M433" s="217">
        <v>91.85</v>
      </c>
      <c r="N433" s="117">
        <f t="shared" si="42"/>
        <v>14128.199999999999</v>
      </c>
      <c r="O433" s="20"/>
      <c r="P433" s="17">
        <f t="shared" si="40"/>
        <v>353513.10330104129</v>
      </c>
      <c r="Q433" s="18"/>
      <c r="R433" s="240">
        <f t="shared" si="43"/>
        <v>1.275925303177932E-4</v>
      </c>
      <c r="S433" s="223">
        <f t="shared" si="45"/>
        <v>14220.05</v>
      </c>
      <c r="T433" s="157"/>
      <c r="U433" s="157"/>
      <c r="V433" s="246">
        <f t="shared" si="44"/>
        <v>367641.30330104131</v>
      </c>
    </row>
    <row r="434" spans="1:22" s="19" customFormat="1" ht="18.75" customHeight="1" x14ac:dyDescent="0.2">
      <c r="A434" s="16"/>
      <c r="B434" s="16"/>
      <c r="C434" s="20" t="s">
        <v>620</v>
      </c>
      <c r="D434" s="20" t="s">
        <v>352</v>
      </c>
      <c r="E434" s="16" t="s">
        <v>4</v>
      </c>
      <c r="F434" s="222">
        <v>3</v>
      </c>
      <c r="G434" s="222">
        <v>0</v>
      </c>
      <c r="H434" s="20"/>
      <c r="I434" s="220" t="s">
        <v>374</v>
      </c>
      <c r="J434" s="20"/>
      <c r="K434" s="244">
        <v>4484.8999999999996</v>
      </c>
      <c r="L434" s="217">
        <f t="shared" si="41"/>
        <v>13454.699999999999</v>
      </c>
      <c r="M434" s="217">
        <v>89.55</v>
      </c>
      <c r="N434" s="117">
        <f t="shared" si="42"/>
        <v>13454.699999999999</v>
      </c>
      <c r="O434" s="20"/>
      <c r="P434" s="17">
        <f t="shared" si="40"/>
        <v>336712.58887170779</v>
      </c>
      <c r="Q434" s="18"/>
      <c r="R434" s="240">
        <f t="shared" si="43"/>
        <v>1.2152876598582779E-4</v>
      </c>
      <c r="S434" s="223">
        <f t="shared" si="45"/>
        <v>13544.249999999998</v>
      </c>
      <c r="T434" s="157"/>
      <c r="U434" s="157"/>
      <c r="V434" s="246">
        <f t="shared" si="44"/>
        <v>350167.2888717078</v>
      </c>
    </row>
    <row r="435" spans="1:22" s="19" customFormat="1" ht="18.75" customHeight="1" x14ac:dyDescent="0.2">
      <c r="A435" s="16"/>
      <c r="B435" s="16"/>
      <c r="C435" s="20" t="s">
        <v>621</v>
      </c>
      <c r="D435" s="20" t="s">
        <v>353</v>
      </c>
      <c r="E435" s="16" t="s">
        <v>4</v>
      </c>
      <c r="F435" s="222">
        <v>1</v>
      </c>
      <c r="G435" s="222">
        <v>0</v>
      </c>
      <c r="H435" s="20"/>
      <c r="I435" s="220" t="s">
        <v>374</v>
      </c>
      <c r="J435" s="20"/>
      <c r="K435" s="244">
        <v>6181.85</v>
      </c>
      <c r="L435" s="217">
        <f t="shared" si="41"/>
        <v>6181.85</v>
      </c>
      <c r="M435" s="217">
        <v>116.3</v>
      </c>
      <c r="N435" s="117">
        <f t="shared" si="42"/>
        <v>6181.85</v>
      </c>
      <c r="O435" s="20"/>
      <c r="P435" s="17">
        <f t="shared" si="40"/>
        <v>156573.18726414136</v>
      </c>
      <c r="Q435" s="18"/>
      <c r="R435" s="240">
        <f t="shared" si="43"/>
        <v>5.6511537921526951E-5</v>
      </c>
      <c r="S435" s="223">
        <f t="shared" si="45"/>
        <v>6298.1500000000005</v>
      </c>
      <c r="T435" s="157"/>
      <c r="U435" s="157"/>
      <c r="V435" s="246">
        <f t="shared" si="44"/>
        <v>162755.03726414137</v>
      </c>
    </row>
    <row r="436" spans="1:22" s="19" customFormat="1" ht="18.75" customHeight="1" x14ac:dyDescent="0.2">
      <c r="A436" s="16"/>
      <c r="B436" s="16"/>
      <c r="C436" s="20" t="s">
        <v>622</v>
      </c>
      <c r="D436" s="20" t="s">
        <v>292</v>
      </c>
      <c r="E436" s="16" t="s">
        <v>4</v>
      </c>
      <c r="F436" s="222">
        <v>3</v>
      </c>
      <c r="G436" s="222">
        <v>0</v>
      </c>
      <c r="H436" s="20"/>
      <c r="I436" s="220" t="s">
        <v>374</v>
      </c>
      <c r="J436" s="20"/>
      <c r="K436" s="244">
        <v>3663.75</v>
      </c>
      <c r="L436" s="217">
        <f t="shared" si="41"/>
        <v>10991.25</v>
      </c>
      <c r="M436" s="217">
        <v>84.5</v>
      </c>
      <c r="N436" s="117">
        <f t="shared" si="42"/>
        <v>10991.25</v>
      </c>
      <c r="O436" s="20"/>
      <c r="P436" s="17">
        <f t="shared" si="40"/>
        <v>275345.21706228232</v>
      </c>
      <c r="Q436" s="18"/>
      <c r="R436" s="240">
        <f t="shared" si="43"/>
        <v>9.9379606096131737E-5</v>
      </c>
      <c r="S436" s="223">
        <f t="shared" si="45"/>
        <v>11075.75</v>
      </c>
      <c r="T436" s="157"/>
      <c r="U436" s="157"/>
      <c r="V436" s="246">
        <f t="shared" si="44"/>
        <v>286336.46706228232</v>
      </c>
    </row>
    <row r="437" spans="1:22" s="19" customFormat="1" ht="18.75" customHeight="1" x14ac:dyDescent="0.2">
      <c r="A437" s="16"/>
      <c r="B437" s="16"/>
      <c r="C437" s="20" t="s">
        <v>623</v>
      </c>
      <c r="D437" s="20" t="s">
        <v>354</v>
      </c>
      <c r="E437" s="16" t="s">
        <v>4</v>
      </c>
      <c r="F437" s="222">
        <v>4</v>
      </c>
      <c r="G437" s="222">
        <v>0</v>
      </c>
      <c r="H437" s="20"/>
      <c r="I437" s="220" t="s">
        <v>374</v>
      </c>
      <c r="J437" s="20"/>
      <c r="K437" s="244">
        <v>3663.75</v>
      </c>
      <c r="L437" s="217">
        <f t="shared" si="41"/>
        <v>14655</v>
      </c>
      <c r="M437" s="217">
        <v>83.7</v>
      </c>
      <c r="N437" s="117">
        <f t="shared" si="42"/>
        <v>14655</v>
      </c>
      <c r="O437" s="20"/>
      <c r="P437" s="17">
        <f t="shared" si="40"/>
        <v>366406.83933059708</v>
      </c>
      <c r="Q437" s="18"/>
      <c r="R437" s="240">
        <f t="shared" si="43"/>
        <v>1.3224623166549054E-4</v>
      </c>
      <c r="S437" s="224">
        <f>+M437+L437</f>
        <v>14738.7</v>
      </c>
      <c r="T437" s="157"/>
      <c r="U437" s="157"/>
      <c r="V437" s="246">
        <f t="shared" si="44"/>
        <v>381061.83933059708</v>
      </c>
    </row>
    <row r="438" spans="1:22" s="19" customFormat="1" ht="18.75" customHeight="1" x14ac:dyDescent="0.2">
      <c r="A438" s="16"/>
      <c r="B438" s="16"/>
      <c r="C438" s="20"/>
      <c r="D438" s="20"/>
      <c r="E438" s="16"/>
      <c r="F438" s="222"/>
      <c r="G438" s="222"/>
      <c r="H438" s="20"/>
      <c r="I438" s="220"/>
      <c r="J438" s="20"/>
      <c r="K438" s="178"/>
      <c r="L438" s="217"/>
      <c r="M438" s="217"/>
      <c r="N438" s="117"/>
      <c r="O438" s="20"/>
      <c r="P438" s="17"/>
      <c r="Q438" s="18"/>
      <c r="R438" s="240"/>
      <c r="S438" s="227"/>
      <c r="T438" s="157"/>
      <c r="U438" s="157"/>
      <c r="V438" s="246"/>
    </row>
    <row r="439" spans="1:22" s="19" customFormat="1" ht="18.75" customHeight="1" x14ac:dyDescent="0.2">
      <c r="A439" s="295"/>
      <c r="B439" s="295"/>
      <c r="C439" s="20"/>
      <c r="D439" s="20"/>
      <c r="E439" s="295"/>
      <c r="F439" s="222"/>
      <c r="G439" s="222"/>
      <c r="H439" s="20"/>
      <c r="I439" s="220"/>
      <c r="J439" s="20"/>
      <c r="K439" s="178"/>
      <c r="L439" s="217"/>
      <c r="M439" s="217"/>
      <c r="N439" s="117"/>
      <c r="O439" s="20"/>
      <c r="P439" s="17"/>
      <c r="Q439" s="18"/>
      <c r="R439" s="240"/>
      <c r="S439" s="227"/>
      <c r="T439" s="157"/>
      <c r="U439" s="157"/>
      <c r="V439" s="246"/>
    </row>
    <row r="440" spans="1:22" s="19" customFormat="1" ht="18.75" customHeight="1" x14ac:dyDescent="0.2">
      <c r="A440" s="295"/>
      <c r="B440" s="295"/>
      <c r="C440" s="20"/>
      <c r="D440" s="20"/>
      <c r="E440" s="295"/>
      <c r="F440" s="222"/>
      <c r="G440" s="222"/>
      <c r="H440" s="20"/>
      <c r="I440" s="220"/>
      <c r="J440" s="20"/>
      <c r="K440" s="178"/>
      <c r="L440" s="217"/>
      <c r="M440" s="217"/>
      <c r="N440" s="117"/>
      <c r="O440" s="20"/>
      <c r="P440" s="17"/>
      <c r="Q440" s="18"/>
      <c r="R440" s="240"/>
      <c r="S440" s="227"/>
      <c r="T440" s="157"/>
      <c r="U440" s="157"/>
      <c r="V440" s="246"/>
    </row>
    <row r="441" spans="1:22" s="19" customFormat="1" ht="18.75" customHeight="1" x14ac:dyDescent="0.2">
      <c r="A441" s="295"/>
      <c r="B441" s="295"/>
      <c r="C441" s="20"/>
      <c r="D441" s="20"/>
      <c r="E441" s="295"/>
      <c r="F441" s="222"/>
      <c r="G441" s="222"/>
      <c r="H441" s="20"/>
      <c r="I441" s="220"/>
      <c r="J441" s="20"/>
      <c r="K441" s="178"/>
      <c r="L441" s="217"/>
      <c r="M441" s="217"/>
      <c r="N441" s="117"/>
      <c r="O441" s="20"/>
      <c r="P441" s="17"/>
      <c r="Q441" s="18"/>
      <c r="R441" s="240"/>
      <c r="S441" s="227"/>
      <c r="T441" s="157"/>
      <c r="U441" s="157"/>
      <c r="V441" s="246"/>
    </row>
    <row r="442" spans="1:22" s="19" customFormat="1" ht="18.75" customHeight="1" x14ac:dyDescent="0.2">
      <c r="A442" s="295"/>
      <c r="B442" s="295"/>
      <c r="C442" s="20"/>
      <c r="D442" s="20"/>
      <c r="E442" s="295"/>
      <c r="F442" s="222"/>
      <c r="G442" s="222"/>
      <c r="H442" s="20"/>
      <c r="I442" s="220"/>
      <c r="J442" s="20"/>
      <c r="K442" s="178"/>
      <c r="L442" s="217"/>
      <c r="M442" s="217"/>
      <c r="N442" s="117"/>
      <c r="O442" s="20"/>
      <c r="P442" s="17"/>
      <c r="Q442" s="18"/>
      <c r="R442" s="240"/>
      <c r="S442" s="227"/>
      <c r="T442" s="157"/>
      <c r="U442" s="157"/>
      <c r="V442" s="246"/>
    </row>
    <row r="443" spans="1:22" s="19" customFormat="1" ht="18.75" customHeight="1" x14ac:dyDescent="0.2">
      <c r="A443" s="295"/>
      <c r="B443" s="295"/>
      <c r="C443" s="20"/>
      <c r="D443" s="20"/>
      <c r="E443" s="295"/>
      <c r="F443" s="222"/>
      <c r="G443" s="222"/>
      <c r="H443" s="20"/>
      <c r="I443" s="220"/>
      <c r="J443" s="20"/>
      <c r="K443" s="178"/>
      <c r="L443" s="217"/>
      <c r="M443" s="217"/>
      <c r="N443" s="117"/>
      <c r="O443" s="20"/>
      <c r="P443" s="17"/>
      <c r="Q443" s="18"/>
      <c r="R443" s="240"/>
      <c r="S443" s="227"/>
      <c r="T443" s="157"/>
      <c r="U443" s="157"/>
      <c r="V443" s="246"/>
    </row>
    <row r="444" spans="1:22" s="19" customFormat="1" ht="18.75" customHeight="1" x14ac:dyDescent="0.2">
      <c r="A444" s="295"/>
      <c r="B444" s="295"/>
      <c r="C444" s="20"/>
      <c r="D444" s="20"/>
      <c r="E444" s="295"/>
      <c r="F444" s="222"/>
      <c r="G444" s="222"/>
      <c r="H444" s="20"/>
      <c r="I444" s="220"/>
      <c r="J444" s="20"/>
      <c r="K444" s="178"/>
      <c r="L444" s="217"/>
      <c r="M444" s="217"/>
      <c r="N444" s="117"/>
      <c r="O444" s="20"/>
      <c r="P444" s="17"/>
      <c r="Q444" s="18"/>
      <c r="R444" s="240"/>
      <c r="S444" s="227"/>
      <c r="T444" s="157"/>
      <c r="U444" s="157"/>
      <c r="V444" s="246"/>
    </row>
    <row r="445" spans="1:22" s="19" customFormat="1" ht="18.75" customHeight="1" x14ac:dyDescent="0.2">
      <c r="A445" s="295"/>
      <c r="B445" s="295"/>
      <c r="C445" s="20"/>
      <c r="D445" s="20"/>
      <c r="E445" s="295"/>
      <c r="F445" s="222"/>
      <c r="G445" s="222"/>
      <c r="H445" s="20"/>
      <c r="I445" s="220"/>
      <c r="J445" s="20"/>
      <c r="K445" s="178"/>
      <c r="L445" s="217"/>
      <c r="M445" s="217"/>
      <c r="N445" s="117"/>
      <c r="O445" s="20"/>
      <c r="P445" s="17"/>
      <c r="Q445" s="18"/>
      <c r="R445" s="240"/>
      <c r="S445" s="227"/>
      <c r="T445" s="157"/>
      <c r="U445" s="157"/>
      <c r="V445" s="246"/>
    </row>
    <row r="446" spans="1:22" s="19" customFormat="1" ht="18.75" customHeight="1" x14ac:dyDescent="0.2">
      <c r="A446" s="295"/>
      <c r="B446" s="295"/>
      <c r="C446" s="20"/>
      <c r="D446" s="20"/>
      <c r="E446" s="295"/>
      <c r="F446" s="222"/>
      <c r="G446" s="222"/>
      <c r="H446" s="20"/>
      <c r="I446" s="220"/>
      <c r="J446" s="20"/>
      <c r="K446" s="178"/>
      <c r="L446" s="217"/>
      <c r="M446" s="217"/>
      <c r="N446" s="117"/>
      <c r="O446" s="20"/>
      <c r="P446" s="17"/>
      <c r="Q446" s="18"/>
      <c r="R446" s="240"/>
      <c r="S446" s="227"/>
      <c r="T446" s="157"/>
      <c r="U446" s="157"/>
      <c r="V446" s="246"/>
    </row>
    <row r="447" spans="1:22" s="19" customFormat="1" ht="18.75" customHeight="1" x14ac:dyDescent="0.2">
      <c r="A447" s="295"/>
      <c r="B447" s="295"/>
      <c r="C447" s="20"/>
      <c r="D447" s="20"/>
      <c r="E447" s="295"/>
      <c r="F447" s="222"/>
      <c r="G447" s="222"/>
      <c r="H447" s="20"/>
      <c r="I447" s="220"/>
      <c r="J447" s="20"/>
      <c r="K447" s="178"/>
      <c r="L447" s="217"/>
      <c r="M447" s="217"/>
      <c r="N447" s="117"/>
      <c r="O447" s="20"/>
      <c r="P447" s="17"/>
      <c r="Q447" s="18"/>
      <c r="R447" s="240"/>
      <c r="S447" s="227"/>
      <c r="T447" s="157"/>
      <c r="U447" s="157"/>
      <c r="V447" s="246"/>
    </row>
    <row r="448" spans="1:22" s="19" customFormat="1" ht="18.75" customHeight="1" x14ac:dyDescent="0.2">
      <c r="A448" s="295"/>
      <c r="B448" s="295"/>
      <c r="C448" s="20"/>
      <c r="D448" s="20"/>
      <c r="E448" s="295"/>
      <c r="F448" s="222"/>
      <c r="G448" s="222"/>
      <c r="H448" s="20"/>
      <c r="I448" s="220"/>
      <c r="J448" s="20"/>
      <c r="K448" s="178"/>
      <c r="L448" s="217"/>
      <c r="M448" s="217"/>
      <c r="N448" s="117"/>
      <c r="O448" s="20"/>
      <c r="P448" s="17"/>
      <c r="Q448" s="18"/>
      <c r="R448" s="240"/>
      <c r="S448" s="227"/>
      <c r="T448" s="157"/>
      <c r="U448" s="157"/>
      <c r="V448" s="246"/>
    </row>
    <row r="449" spans="1:22" s="19" customFormat="1" ht="18.75" customHeight="1" x14ac:dyDescent="0.2">
      <c r="A449" s="295"/>
      <c r="B449" s="295"/>
      <c r="C449" s="20"/>
      <c r="D449" s="20"/>
      <c r="E449" s="295"/>
      <c r="F449" s="222"/>
      <c r="G449" s="222"/>
      <c r="H449" s="20"/>
      <c r="I449" s="220"/>
      <c r="J449" s="20"/>
      <c r="K449" s="178"/>
      <c r="L449" s="217"/>
      <c r="M449" s="217"/>
      <c r="N449" s="117"/>
      <c r="O449" s="20"/>
      <c r="P449" s="17"/>
      <c r="Q449" s="18"/>
      <c r="R449" s="240"/>
      <c r="S449" s="227"/>
      <c r="T449" s="157"/>
      <c r="U449" s="157"/>
      <c r="V449" s="246"/>
    </row>
    <row r="450" spans="1:22" s="19" customFormat="1" ht="18.75" customHeight="1" x14ac:dyDescent="0.2">
      <c r="A450" s="295"/>
      <c r="B450" s="295"/>
      <c r="C450" s="20"/>
      <c r="D450" s="20"/>
      <c r="E450" s="295"/>
      <c r="F450" s="222"/>
      <c r="G450" s="222"/>
      <c r="H450" s="20"/>
      <c r="I450" s="220"/>
      <c r="J450" s="20"/>
      <c r="K450" s="178"/>
      <c r="L450" s="217"/>
      <c r="M450" s="217"/>
      <c r="N450" s="117"/>
      <c r="O450" s="20"/>
      <c r="P450" s="17"/>
      <c r="Q450" s="18"/>
      <c r="R450" s="240"/>
      <c r="S450" s="227"/>
      <c r="T450" s="157"/>
      <c r="U450" s="157"/>
      <c r="V450" s="246"/>
    </row>
    <row r="451" spans="1:22" s="19" customFormat="1" ht="18.75" customHeight="1" x14ac:dyDescent="0.2">
      <c r="A451" s="295"/>
      <c r="B451" s="295"/>
      <c r="C451" s="20"/>
      <c r="D451" s="20"/>
      <c r="E451" s="295"/>
      <c r="F451" s="222"/>
      <c r="G451" s="222"/>
      <c r="H451" s="20"/>
      <c r="I451" s="220"/>
      <c r="J451" s="20"/>
      <c r="K451" s="178"/>
      <c r="L451" s="217"/>
      <c r="M451" s="217"/>
      <c r="N451" s="117"/>
      <c r="O451" s="20"/>
      <c r="P451" s="17"/>
      <c r="Q451" s="18"/>
      <c r="R451" s="240"/>
      <c r="S451" s="227"/>
      <c r="T451" s="157"/>
      <c r="U451" s="157"/>
      <c r="V451" s="246"/>
    </row>
    <row r="452" spans="1:22" s="19" customFormat="1" ht="18.75" customHeight="1" x14ac:dyDescent="0.2">
      <c r="A452" s="295"/>
      <c r="B452" s="295"/>
      <c r="C452" s="20"/>
      <c r="D452" s="20"/>
      <c r="E452" s="295"/>
      <c r="F452" s="222"/>
      <c r="G452" s="222"/>
      <c r="H452" s="20"/>
      <c r="I452" s="220"/>
      <c r="J452" s="20"/>
      <c r="K452" s="178"/>
      <c r="L452" s="217"/>
      <c r="M452" s="217"/>
      <c r="N452" s="117"/>
      <c r="O452" s="20"/>
      <c r="P452" s="17"/>
      <c r="Q452" s="18"/>
      <c r="R452" s="240"/>
      <c r="S452" s="227"/>
      <c r="T452" s="157"/>
      <c r="U452" s="157"/>
      <c r="V452" s="246"/>
    </row>
    <row r="453" spans="1:22" s="19" customFormat="1" ht="18.75" customHeight="1" x14ac:dyDescent="0.2">
      <c r="A453" s="295"/>
      <c r="B453" s="295"/>
      <c r="C453" s="20"/>
      <c r="D453" s="20"/>
      <c r="E453" s="295"/>
      <c r="F453" s="222"/>
      <c r="G453" s="222"/>
      <c r="H453" s="20"/>
      <c r="I453" s="220"/>
      <c r="J453" s="20"/>
      <c r="K453" s="178"/>
      <c r="L453" s="217"/>
      <c r="M453" s="217"/>
      <c r="N453" s="117"/>
      <c r="O453" s="20"/>
      <c r="P453" s="17"/>
      <c r="Q453" s="18"/>
      <c r="R453" s="240"/>
      <c r="S453" s="227"/>
      <c r="T453" s="157"/>
      <c r="U453" s="157"/>
      <c r="V453" s="246"/>
    </row>
    <row r="454" spans="1:22" s="19" customFormat="1" ht="18.75" customHeight="1" x14ac:dyDescent="0.2">
      <c r="A454" s="295"/>
      <c r="B454" s="295"/>
      <c r="C454" s="20"/>
      <c r="D454" s="20"/>
      <c r="E454" s="295"/>
      <c r="F454" s="222"/>
      <c r="G454" s="222"/>
      <c r="H454" s="20"/>
      <c r="I454" s="220"/>
      <c r="J454" s="20"/>
      <c r="K454" s="178"/>
      <c r="L454" s="217"/>
      <c r="M454" s="217"/>
      <c r="N454" s="117"/>
      <c r="O454" s="20"/>
      <c r="P454" s="17"/>
      <c r="Q454" s="18"/>
      <c r="R454" s="240"/>
      <c r="S454" s="227"/>
      <c r="T454" s="157"/>
      <c r="U454" s="157"/>
      <c r="V454" s="246"/>
    </row>
    <row r="455" spans="1:22" s="19" customFormat="1" ht="18.75" customHeight="1" x14ac:dyDescent="0.2">
      <c r="A455" s="295"/>
      <c r="B455" s="295"/>
      <c r="C455" s="20"/>
      <c r="D455" s="20"/>
      <c r="E455" s="295"/>
      <c r="F455" s="222"/>
      <c r="G455" s="222"/>
      <c r="H455" s="20"/>
      <c r="I455" s="220"/>
      <c r="J455" s="20"/>
      <c r="K455" s="178"/>
      <c r="L455" s="217"/>
      <c r="M455" s="217"/>
      <c r="N455" s="117"/>
      <c r="O455" s="20"/>
      <c r="P455" s="17"/>
      <c r="Q455" s="18"/>
      <c r="R455" s="240"/>
      <c r="S455" s="227"/>
      <c r="T455" s="157"/>
      <c r="U455" s="157"/>
      <c r="V455" s="246"/>
    </row>
    <row r="456" spans="1:22" s="19" customFormat="1" ht="18.75" customHeight="1" x14ac:dyDescent="0.2">
      <c r="A456" s="295"/>
      <c r="B456" s="295"/>
      <c r="C456" s="20"/>
      <c r="D456" s="20"/>
      <c r="E456" s="295"/>
      <c r="F456" s="222"/>
      <c r="G456" s="222"/>
      <c r="H456" s="20"/>
      <c r="I456" s="220"/>
      <c r="J456" s="20"/>
      <c r="K456" s="178"/>
      <c r="L456" s="217"/>
      <c r="M456" s="217"/>
      <c r="N456" s="117"/>
      <c r="O456" s="20"/>
      <c r="P456" s="17"/>
      <c r="Q456" s="18"/>
      <c r="R456" s="240"/>
      <c r="S456" s="227"/>
      <c r="T456" s="157"/>
      <c r="U456" s="157"/>
      <c r="V456" s="246"/>
    </row>
    <row r="457" spans="1:22" s="19" customFormat="1" ht="18.75" customHeight="1" x14ac:dyDescent="0.2">
      <c r="A457" s="295"/>
      <c r="B457" s="295"/>
      <c r="C457" s="20"/>
      <c r="D457" s="20"/>
      <c r="E457" s="295"/>
      <c r="F457" s="222"/>
      <c r="G457" s="222"/>
      <c r="H457" s="20"/>
      <c r="I457" s="220"/>
      <c r="J457" s="20"/>
      <c r="K457" s="178"/>
      <c r="L457" s="217"/>
      <c r="M457" s="217"/>
      <c r="N457" s="117"/>
      <c r="O457" s="20"/>
      <c r="P457" s="17"/>
      <c r="Q457" s="18"/>
      <c r="R457" s="240"/>
      <c r="S457" s="227"/>
      <c r="T457" s="157"/>
      <c r="U457" s="157"/>
      <c r="V457" s="246"/>
    </row>
    <row r="458" spans="1:22" s="19" customFormat="1" ht="18.75" customHeight="1" x14ac:dyDescent="0.2">
      <c r="A458" s="295"/>
      <c r="B458" s="295"/>
      <c r="C458" s="20"/>
      <c r="D458" s="20"/>
      <c r="E458" s="295"/>
      <c r="F458" s="222"/>
      <c r="G458" s="222"/>
      <c r="H458" s="20"/>
      <c r="I458" s="220"/>
      <c r="J458" s="20"/>
      <c r="K458" s="178"/>
      <c r="L458" s="217"/>
      <c r="M458" s="217"/>
      <c r="N458" s="117"/>
      <c r="O458" s="20"/>
      <c r="P458" s="17"/>
      <c r="Q458" s="18"/>
      <c r="R458" s="240"/>
      <c r="S458" s="227"/>
      <c r="T458" s="157"/>
      <c r="U458" s="157"/>
      <c r="V458" s="246"/>
    </row>
    <row r="459" spans="1:22" s="19" customFormat="1" ht="18.75" customHeight="1" x14ac:dyDescent="0.2">
      <c r="A459" s="295"/>
      <c r="B459" s="295"/>
      <c r="C459" s="20"/>
      <c r="D459" s="20"/>
      <c r="E459" s="295"/>
      <c r="F459" s="222"/>
      <c r="G459" s="222"/>
      <c r="H459" s="20"/>
      <c r="I459" s="220"/>
      <c r="J459" s="20"/>
      <c r="K459" s="178"/>
      <c r="L459" s="217"/>
      <c r="M459" s="217"/>
      <c r="N459" s="117"/>
      <c r="O459" s="20"/>
      <c r="P459" s="17"/>
      <c r="Q459" s="18"/>
      <c r="R459" s="240"/>
      <c r="S459" s="227"/>
      <c r="T459" s="157"/>
      <c r="U459" s="157"/>
      <c r="V459" s="246"/>
    </row>
    <row r="460" spans="1:22" s="19" customFormat="1" ht="18.75" customHeight="1" x14ac:dyDescent="0.2">
      <c r="A460" s="295"/>
      <c r="B460" s="295"/>
      <c r="C460" s="20"/>
      <c r="D460" s="20"/>
      <c r="E460" s="295"/>
      <c r="F460" s="222"/>
      <c r="G460" s="222"/>
      <c r="H460" s="20"/>
      <c r="I460" s="220"/>
      <c r="J460" s="20"/>
      <c r="K460" s="178"/>
      <c r="L460" s="217"/>
      <c r="M460" s="217"/>
      <c r="N460" s="117"/>
      <c r="O460" s="20"/>
      <c r="P460" s="17"/>
      <c r="Q460" s="18"/>
      <c r="R460" s="240"/>
      <c r="S460" s="227"/>
      <c r="T460" s="157"/>
      <c r="U460" s="157"/>
      <c r="V460" s="246"/>
    </row>
    <row r="461" spans="1:22" s="19" customFormat="1" ht="18.75" customHeight="1" x14ac:dyDescent="0.2">
      <c r="A461" s="295"/>
      <c r="B461" s="295"/>
      <c r="C461" s="20"/>
      <c r="D461" s="20"/>
      <c r="E461" s="295"/>
      <c r="F461" s="222"/>
      <c r="G461" s="222"/>
      <c r="H461" s="20"/>
      <c r="I461" s="220"/>
      <c r="J461" s="20"/>
      <c r="K461" s="178"/>
      <c r="L461" s="217"/>
      <c r="M461" s="217"/>
      <c r="N461" s="117"/>
      <c r="O461" s="20"/>
      <c r="P461" s="17"/>
      <c r="Q461" s="18"/>
      <c r="R461" s="240"/>
      <c r="S461" s="227"/>
      <c r="T461" s="157"/>
      <c r="U461" s="157"/>
      <c r="V461" s="246"/>
    </row>
    <row r="462" spans="1:22" s="19" customFormat="1" ht="18.75" customHeight="1" x14ac:dyDescent="0.2">
      <c r="A462" s="295"/>
      <c r="B462" s="295"/>
      <c r="C462" s="20"/>
      <c r="D462" s="20"/>
      <c r="E462" s="295"/>
      <c r="F462" s="222"/>
      <c r="G462" s="222"/>
      <c r="H462" s="20"/>
      <c r="I462" s="220"/>
      <c r="J462" s="20"/>
      <c r="K462" s="178"/>
      <c r="L462" s="217"/>
      <c r="M462" s="217"/>
      <c r="N462" s="117"/>
      <c r="O462" s="20"/>
      <c r="P462" s="17"/>
      <c r="Q462" s="18"/>
      <c r="R462" s="240"/>
      <c r="S462" s="227"/>
      <c r="T462" s="157"/>
      <c r="U462" s="157"/>
      <c r="V462" s="246"/>
    </row>
    <row r="463" spans="1:22" s="19" customFormat="1" ht="18.75" customHeight="1" x14ac:dyDescent="0.2">
      <c r="A463" s="295"/>
      <c r="B463" s="295"/>
      <c r="C463" s="20"/>
      <c r="D463" s="20"/>
      <c r="E463" s="295"/>
      <c r="F463" s="222"/>
      <c r="G463" s="222"/>
      <c r="H463" s="20"/>
      <c r="I463" s="220"/>
      <c r="J463" s="20"/>
      <c r="K463" s="178"/>
      <c r="L463" s="217"/>
      <c r="M463" s="217"/>
      <c r="N463" s="117"/>
      <c r="O463" s="20"/>
      <c r="P463" s="17"/>
      <c r="Q463" s="18"/>
      <c r="R463" s="240"/>
      <c r="S463" s="227"/>
      <c r="T463" s="157"/>
      <c r="U463" s="157"/>
      <c r="V463" s="246"/>
    </row>
    <row r="464" spans="1:22" s="19" customFormat="1" ht="18.75" customHeight="1" x14ac:dyDescent="0.2">
      <c r="A464" s="295"/>
      <c r="B464" s="295"/>
      <c r="C464" s="20"/>
      <c r="D464" s="20"/>
      <c r="E464" s="295"/>
      <c r="F464" s="222"/>
      <c r="G464" s="222"/>
      <c r="H464" s="20"/>
      <c r="I464" s="220"/>
      <c r="J464" s="20"/>
      <c r="K464" s="178"/>
      <c r="L464" s="217"/>
      <c r="M464" s="217"/>
      <c r="N464" s="117"/>
      <c r="O464" s="20"/>
      <c r="P464" s="17"/>
      <c r="Q464" s="18"/>
      <c r="R464" s="240"/>
      <c r="S464" s="227"/>
      <c r="T464" s="157"/>
      <c r="U464" s="157"/>
      <c r="V464" s="246"/>
    </row>
    <row r="465" spans="1:22" s="19" customFormat="1" ht="18.75" customHeight="1" x14ac:dyDescent="0.2">
      <c r="A465" s="295"/>
      <c r="B465" s="295"/>
      <c r="C465" s="20"/>
      <c r="D465" s="20"/>
      <c r="E465" s="295"/>
      <c r="F465" s="222"/>
      <c r="G465" s="222"/>
      <c r="H465" s="20"/>
      <c r="I465" s="220"/>
      <c r="J465" s="20"/>
      <c r="K465" s="178"/>
      <c r="L465" s="217"/>
      <c r="M465" s="217"/>
      <c r="N465" s="117"/>
      <c r="O465" s="20"/>
      <c r="P465" s="17"/>
      <c r="Q465" s="18"/>
      <c r="R465" s="240"/>
      <c r="S465" s="227"/>
      <c r="T465" s="157"/>
      <c r="U465" s="157"/>
      <c r="V465" s="246"/>
    </row>
    <row r="466" spans="1:22" s="19" customFormat="1" ht="18.75" customHeight="1" x14ac:dyDescent="0.2">
      <c r="A466" s="295"/>
      <c r="B466" s="295"/>
      <c r="C466" s="20"/>
      <c r="D466" s="20"/>
      <c r="E466" s="295"/>
      <c r="F466" s="222"/>
      <c r="G466" s="222"/>
      <c r="H466" s="20"/>
      <c r="I466" s="220"/>
      <c r="J466" s="20"/>
      <c r="K466" s="178"/>
      <c r="L466" s="217"/>
      <c r="M466" s="217"/>
      <c r="N466" s="117"/>
      <c r="O466" s="20"/>
      <c r="P466" s="17"/>
      <c r="Q466" s="18"/>
      <c r="R466" s="240"/>
      <c r="S466" s="227"/>
      <c r="T466" s="157"/>
      <c r="U466" s="157"/>
      <c r="V466" s="246"/>
    </row>
    <row r="467" spans="1:22" s="19" customFormat="1" ht="18.75" customHeight="1" x14ac:dyDescent="0.2">
      <c r="A467" s="295"/>
      <c r="B467" s="295"/>
      <c r="C467" s="20"/>
      <c r="D467" s="20"/>
      <c r="E467" s="295"/>
      <c r="F467" s="222"/>
      <c r="G467" s="222"/>
      <c r="H467" s="20"/>
      <c r="I467" s="220"/>
      <c r="J467" s="20"/>
      <c r="K467" s="178"/>
      <c r="L467" s="217"/>
      <c r="M467" s="217"/>
      <c r="N467" s="117"/>
      <c r="O467" s="20"/>
      <c r="P467" s="17"/>
      <c r="Q467" s="18"/>
      <c r="R467" s="240"/>
      <c r="S467" s="227"/>
      <c r="T467" s="157"/>
      <c r="U467" s="157"/>
      <c r="V467" s="246"/>
    </row>
    <row r="468" spans="1:22" s="19" customFormat="1" ht="18.75" customHeight="1" x14ac:dyDescent="0.2">
      <c r="A468" s="295"/>
      <c r="B468" s="295"/>
      <c r="C468" s="20"/>
      <c r="D468" s="20"/>
      <c r="E468" s="295"/>
      <c r="F468" s="222"/>
      <c r="G468" s="222"/>
      <c r="H468" s="20"/>
      <c r="I468" s="220"/>
      <c r="J468" s="20"/>
      <c r="K468" s="178"/>
      <c r="L468" s="217"/>
      <c r="M468" s="217"/>
      <c r="N468" s="117"/>
      <c r="O468" s="20"/>
      <c r="P468" s="17"/>
      <c r="Q468" s="18"/>
      <c r="R468" s="240"/>
      <c r="S468" s="227"/>
      <c r="T468" s="157"/>
      <c r="U468" s="157"/>
      <c r="V468" s="246"/>
    </row>
    <row r="469" spans="1:22" s="19" customFormat="1" ht="18.75" customHeight="1" x14ac:dyDescent="0.2">
      <c r="A469" s="295"/>
      <c r="B469" s="295"/>
      <c r="C469" s="20"/>
      <c r="D469" s="20"/>
      <c r="E469" s="295"/>
      <c r="F469" s="222"/>
      <c r="G469" s="222"/>
      <c r="H469" s="20"/>
      <c r="I469" s="220"/>
      <c r="J469" s="20"/>
      <c r="K469" s="178"/>
      <c r="L469" s="217"/>
      <c r="M469" s="217"/>
      <c r="N469" s="117"/>
      <c r="O469" s="20"/>
      <c r="P469" s="17"/>
      <c r="Q469" s="18"/>
      <c r="R469" s="240"/>
      <c r="S469" s="227"/>
      <c r="T469" s="157"/>
      <c r="U469" s="157"/>
      <c r="V469" s="246"/>
    </row>
    <row r="470" spans="1:22" s="19" customFormat="1" ht="18.75" customHeight="1" x14ac:dyDescent="0.2">
      <c r="A470" s="295"/>
      <c r="B470" s="295"/>
      <c r="C470" s="20"/>
      <c r="D470" s="20"/>
      <c r="E470" s="295"/>
      <c r="F470" s="222"/>
      <c r="G470" s="222"/>
      <c r="H470" s="20"/>
      <c r="I470" s="220"/>
      <c r="J470" s="20"/>
      <c r="K470" s="178"/>
      <c r="L470" s="217"/>
      <c r="M470" s="217"/>
      <c r="N470" s="117"/>
      <c r="O470" s="20"/>
      <c r="P470" s="17"/>
      <c r="Q470" s="18"/>
      <c r="R470" s="240"/>
      <c r="S470" s="227"/>
      <c r="T470" s="157"/>
      <c r="U470" s="157"/>
      <c r="V470" s="246"/>
    </row>
    <row r="471" spans="1:22" s="19" customFormat="1" ht="18.75" customHeight="1" x14ac:dyDescent="0.2">
      <c r="A471" s="16"/>
      <c r="B471" s="16"/>
      <c r="C471" s="16"/>
      <c r="D471" s="16"/>
      <c r="E471" s="16"/>
      <c r="F471" s="222"/>
      <c r="G471" s="222"/>
      <c r="H471" s="16"/>
      <c r="I471" s="220"/>
      <c r="J471" s="16"/>
      <c r="K471" s="178"/>
      <c r="L471" s="217"/>
      <c r="M471" s="217"/>
      <c r="N471" s="117"/>
      <c r="O471" s="16"/>
      <c r="P471" s="17"/>
      <c r="Q471" s="18"/>
      <c r="R471" s="240"/>
      <c r="S471" s="227"/>
      <c r="T471" s="157"/>
      <c r="U471" s="157"/>
      <c r="V471" s="246"/>
    </row>
    <row r="472" spans="1:22" s="173" customFormat="1" ht="18.75" customHeight="1" x14ac:dyDescent="0.25">
      <c r="A472" s="21"/>
      <c r="B472" s="21"/>
      <c r="C472" s="21"/>
      <c r="D472" s="347" t="s">
        <v>82</v>
      </c>
      <c r="E472" s="21"/>
      <c r="F472" s="347">
        <f>SUM(F15:F471)</f>
        <v>11501</v>
      </c>
      <c r="G472" s="347"/>
      <c r="H472" s="21"/>
      <c r="I472" s="236"/>
      <c r="J472" s="21"/>
      <c r="K472" s="235">
        <f>SUM(K15:K471)</f>
        <v>3541325.9500000048</v>
      </c>
      <c r="L472" s="235">
        <f>SUM(L15:L471)</f>
        <v>110179745.14999999</v>
      </c>
      <c r="M472" s="235">
        <f>SUM(M15:M471)</f>
        <v>1269177.1700000018</v>
      </c>
      <c r="N472" s="347">
        <f>SUM(N15:N471)</f>
        <v>110179745.14999999</v>
      </c>
      <c r="O472" s="21"/>
      <c r="P472" s="347">
        <f>SUM(P15:P471)</f>
        <v>2770641058.8499947</v>
      </c>
      <c r="Q472" s="236"/>
      <c r="R472" s="225">
        <f>SUM(R16:R471)</f>
        <v>0.99999999999999889</v>
      </c>
      <c r="S472" s="226">
        <f>SUM(S16:S471)</f>
        <v>111448922.32000016</v>
      </c>
      <c r="T472" s="157"/>
      <c r="U472" s="157"/>
      <c r="V472" s="226">
        <f>SUM(V16:V471)</f>
        <v>2880820803.9999995</v>
      </c>
    </row>
    <row r="473" spans="1:22" s="19" customFormat="1" ht="18.75" customHeight="1" x14ac:dyDescent="0.2">
      <c r="A473" s="22" t="s">
        <v>4</v>
      </c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40"/>
      <c r="S473" s="157"/>
      <c r="T473" s="157"/>
      <c r="U473" s="157"/>
      <c r="V473" s="226">
        <f>+V472-P472-N472</f>
        <v>4.8726797103881836E-6</v>
      </c>
    </row>
    <row r="474" spans="1:22" s="24" customFormat="1" ht="16.5" customHeight="1" x14ac:dyDescent="0.2">
      <c r="A474" s="23"/>
      <c r="B474" s="23"/>
      <c r="C474" s="23"/>
      <c r="D474" s="23"/>
      <c r="E474" s="23"/>
      <c r="F474" s="176"/>
      <c r="G474" s="176"/>
      <c r="H474" s="23"/>
      <c r="I474" s="176"/>
      <c r="J474" s="23"/>
      <c r="K474" s="23"/>
      <c r="L474" s="23"/>
      <c r="M474" s="23"/>
      <c r="N474" s="176"/>
      <c r="O474" s="23"/>
      <c r="P474" s="176">
        <f>+P472+N472</f>
        <v>2880820803.9999948</v>
      </c>
      <c r="Q474" s="25"/>
    </row>
    <row r="475" spans="1:22" ht="14.25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232">
        <f>+'EDO ING Y EGR'!I38</f>
        <v>2880820804</v>
      </c>
      <c r="Q475" s="6"/>
    </row>
    <row r="476" spans="1:22" ht="15" x14ac:dyDescent="0.2">
      <c r="A476" s="6"/>
      <c r="B476" s="6"/>
      <c r="C476" s="6"/>
      <c r="D476" s="6"/>
      <c r="E476" s="6"/>
      <c r="F476" s="26"/>
      <c r="G476" s="26"/>
      <c r="H476" s="6"/>
      <c r="I476" s="26"/>
      <c r="J476" s="6"/>
      <c r="K476" s="6"/>
      <c r="L476" s="6"/>
      <c r="M476" s="6"/>
      <c r="N476" s="26"/>
      <c r="O476" s="6"/>
      <c r="P476" s="26">
        <f>+P474-P475</f>
        <v>-5.245208740234375E-6</v>
      </c>
      <c r="Q476" s="6"/>
    </row>
    <row r="477" spans="1:22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22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22" x14ac:dyDescent="0.2">
      <c r="A479" s="6"/>
      <c r="B479" s="6"/>
      <c r="C479" s="6"/>
      <c r="D479" s="6"/>
      <c r="E479" s="6"/>
      <c r="F479" s="10"/>
      <c r="G479" s="10"/>
      <c r="H479" s="6"/>
      <c r="I479" s="10"/>
      <c r="J479" s="6"/>
      <c r="K479" s="6"/>
      <c r="L479" s="6"/>
      <c r="M479" s="6"/>
      <c r="N479" s="10"/>
      <c r="O479" s="6"/>
      <c r="P479" s="10"/>
      <c r="Q479" s="6"/>
    </row>
    <row r="480" spans="1:22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">
      <c r="A482" s="6"/>
      <c r="B482" s="6"/>
      <c r="C482" s="6"/>
      <c r="D482" s="6"/>
      <c r="E482" s="6"/>
      <c r="F482" s="10"/>
      <c r="G482" s="10"/>
      <c r="H482" s="6"/>
      <c r="I482" s="10"/>
      <c r="J482" s="6"/>
      <c r="K482" s="6"/>
      <c r="L482" s="6"/>
      <c r="M482" s="6"/>
      <c r="N482" s="10"/>
      <c r="O482" s="6"/>
      <c r="P482" s="10"/>
      <c r="Q482" s="6"/>
    </row>
    <row r="483" spans="1:17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8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8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8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8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8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8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8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8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8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8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</row>
    <row r="507" spans="1:18" s="1" customForma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</row>
    <row r="508" spans="1:18" s="1" customFormat="1" x14ac:dyDescent="0.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</row>
    <row r="509" spans="1:18" s="1" customFormat="1" ht="15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</row>
    <row r="510" spans="1:18" s="158" customFormat="1" x14ac:dyDescent="0.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248"/>
    </row>
    <row r="511" spans="1:18" s="1" customFormat="1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</row>
    <row r="512" spans="1:18" s="1" customFormat="1" x14ac:dyDescent="0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</row>
    <row r="513" spans="1:17" s="1" customFormat="1" x14ac:dyDescent="0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</row>
    <row r="514" spans="1:17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</row>
    <row r="515" spans="1:17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</row>
    <row r="516" spans="1:17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</row>
    <row r="517" spans="1:17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</row>
    <row r="518" spans="1:17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</row>
    <row r="519" spans="1:17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</row>
    <row r="520" spans="1:17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</row>
    <row r="521" spans="1:17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</row>
    <row r="522" spans="1:17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</row>
  </sheetData>
  <mergeCells count="23">
    <mergeCell ref="A10:Q10"/>
    <mergeCell ref="A2:Q2"/>
    <mergeCell ref="A3:Q3"/>
    <mergeCell ref="A6:Q6"/>
    <mergeCell ref="A8:Q8"/>
    <mergeCell ref="A9:Q9"/>
    <mergeCell ref="A7:Q7"/>
    <mergeCell ref="S11:T11"/>
    <mergeCell ref="U11:V11"/>
    <mergeCell ref="S12:T12"/>
    <mergeCell ref="U12:V12"/>
    <mergeCell ref="B13:C14"/>
    <mergeCell ref="D13:D14"/>
    <mergeCell ref="F13:G13"/>
    <mergeCell ref="I13:I14"/>
    <mergeCell ref="K13:K14"/>
    <mergeCell ref="L13:L14"/>
    <mergeCell ref="M13:M14"/>
    <mergeCell ref="N13:N14"/>
    <mergeCell ref="P13:P14"/>
    <mergeCell ref="S13:T13"/>
    <mergeCell ref="U13:V13"/>
    <mergeCell ref="S14:S15"/>
  </mergeCells>
  <printOptions horizontalCentered="1"/>
  <pageMargins left="0.78740157480314965" right="0.78740157480314965" top="0.59055118110236227" bottom="0.59055118110236227" header="0" footer="0.39370078740157483"/>
  <pageSetup scale="54" fitToHeight="7" orientation="portrait" horizontalDpi="300" verticalDpi="300" r:id="rId1"/>
  <headerFooter alignWithMargins="0">
    <oddFooter>Página 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"/>
  <sheetViews>
    <sheetView topLeftCell="A13" zoomScale="68" zoomScaleNormal="68" workbookViewId="0">
      <selection activeCell="E25" sqref="E25"/>
    </sheetView>
  </sheetViews>
  <sheetFormatPr baseColWidth="10" defaultRowHeight="15.75" customHeight="1" x14ac:dyDescent="0.2"/>
  <cols>
    <col min="1" max="1" width="2.85546875" style="32" customWidth="1"/>
    <col min="2" max="2" width="9.28515625" style="32" customWidth="1"/>
    <col min="3" max="3" width="2.85546875" style="33" customWidth="1"/>
    <col min="4" max="4" width="4.42578125" style="33" customWidth="1"/>
    <col min="5" max="5" width="42.85546875" style="32" customWidth="1"/>
    <col min="6" max="6" width="2.85546875" style="32" customWidth="1"/>
    <col min="7" max="7" width="17.85546875" style="32" customWidth="1"/>
    <col min="8" max="8" width="2.85546875" style="33" customWidth="1"/>
    <col min="9" max="9" width="17.85546875" style="33" customWidth="1"/>
    <col min="10" max="10" width="17.85546875" style="32" customWidth="1"/>
    <col min="11" max="11" width="2.85546875" style="32" customWidth="1"/>
    <col min="12" max="12" width="17.85546875" style="32" customWidth="1"/>
    <col min="13" max="13" width="2.85546875" style="32" customWidth="1"/>
    <col min="14" max="14" width="17.85546875" style="32" customWidth="1"/>
    <col min="15" max="15" width="2.85546875" style="33" customWidth="1"/>
    <col min="16" max="16" width="17.85546875" style="32" customWidth="1"/>
    <col min="17" max="17" width="2.85546875" style="33" customWidth="1"/>
    <col min="18" max="18" width="17.85546875" style="32" customWidth="1"/>
    <col min="19" max="19" width="2.85546875" style="33" customWidth="1"/>
    <col min="20" max="20" width="17.85546875" style="32" customWidth="1"/>
    <col min="21" max="21" width="2.85546875" style="32" customWidth="1"/>
    <col min="22" max="22" width="11.42578125" style="32"/>
    <col min="23" max="23" width="18.42578125" style="237" bestFit="1" customWidth="1"/>
    <col min="24" max="24" width="18.42578125" style="32" bestFit="1" customWidth="1"/>
    <col min="25" max="25" width="11.42578125" style="32"/>
    <col min="26" max="26" width="19" style="32" bestFit="1" customWidth="1"/>
    <col min="27" max="16384" width="11.42578125" style="32"/>
  </cols>
  <sheetData>
    <row r="1" spans="1:28" s="33" customFormat="1" ht="9" customHeight="1" x14ac:dyDescent="0.2">
      <c r="W1" s="239"/>
    </row>
    <row r="2" spans="1:28" s="33" customFormat="1" ht="29.25" customHeight="1" x14ac:dyDescent="0.2">
      <c r="A2" s="619" t="s">
        <v>7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W2" s="239"/>
    </row>
    <row r="3" spans="1:28" s="33" customFormat="1" ht="29.25" customHeight="1" x14ac:dyDescent="0.2">
      <c r="A3" s="619" t="s">
        <v>106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W3" s="239"/>
    </row>
    <row r="4" spans="1:28" s="33" customFormat="1" ht="9" customHeight="1" x14ac:dyDescent="0.2">
      <c r="A4" s="622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4"/>
      <c r="M4" s="64"/>
      <c r="N4" s="64"/>
      <c r="O4" s="64"/>
      <c r="P4" s="64"/>
      <c r="Q4" s="64"/>
      <c r="R4" s="64"/>
      <c r="S4" s="64"/>
      <c r="T4" s="64"/>
      <c r="W4" s="239"/>
    </row>
    <row r="5" spans="1:28" s="33" customFormat="1" ht="15.75" customHeight="1" x14ac:dyDescent="0.2">
      <c r="W5" s="239"/>
    </row>
    <row r="6" spans="1:28" s="33" customFormat="1" ht="15.75" customHeight="1" x14ac:dyDescent="0.25">
      <c r="A6" s="638" t="s">
        <v>44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  <c r="R6" s="638"/>
      <c r="S6" s="638"/>
      <c r="T6" s="638"/>
      <c r="U6" s="638"/>
      <c r="W6" s="239"/>
    </row>
    <row r="7" spans="1:28" s="33" customFormat="1" ht="15.75" customHeight="1" x14ac:dyDescent="0.25">
      <c r="A7" s="638" t="s">
        <v>978</v>
      </c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8"/>
      <c r="T7" s="638"/>
      <c r="U7" s="638"/>
      <c r="W7" s="239"/>
    </row>
    <row r="8" spans="1:28" s="33" customFormat="1" ht="15.75" customHeight="1" x14ac:dyDescent="0.25">
      <c r="A8" s="34"/>
      <c r="B8" s="34"/>
      <c r="C8" s="34"/>
      <c r="D8" s="34"/>
      <c r="E8" s="35"/>
      <c r="F8" s="35"/>
      <c r="G8" s="35"/>
      <c r="H8" s="35"/>
      <c r="I8" s="35"/>
      <c r="J8" s="40"/>
      <c r="K8" s="40"/>
      <c r="L8" s="35"/>
      <c r="M8" s="35"/>
      <c r="N8" s="35"/>
      <c r="O8" s="35"/>
      <c r="P8" s="35"/>
      <c r="Q8" s="35"/>
      <c r="R8" s="35"/>
      <c r="S8" s="35"/>
      <c r="T8" s="35"/>
      <c r="W8" s="239"/>
    </row>
    <row r="9" spans="1:28" s="33" customFormat="1" ht="15.75" customHeight="1" x14ac:dyDescent="0.25">
      <c r="A9" s="34"/>
      <c r="B9" s="34"/>
      <c r="C9" s="34"/>
      <c r="D9" s="34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W9" s="239"/>
    </row>
    <row r="10" spans="1:28" s="152" customFormat="1" ht="12.75" customHeight="1" x14ac:dyDescent="0.2">
      <c r="A10" s="148"/>
      <c r="B10" s="646" t="s">
        <v>45</v>
      </c>
      <c r="C10" s="149"/>
      <c r="D10" s="645" t="s">
        <v>46</v>
      </c>
      <c r="E10" s="645"/>
      <c r="F10" s="150"/>
      <c r="G10" s="645" t="s">
        <v>48</v>
      </c>
      <c r="H10" s="151"/>
      <c r="I10" s="646" t="s">
        <v>50</v>
      </c>
      <c r="J10" s="646"/>
      <c r="L10" s="646" t="s">
        <v>90</v>
      </c>
      <c r="M10" s="156"/>
      <c r="N10" s="646" t="s">
        <v>677</v>
      </c>
      <c r="O10" s="156"/>
      <c r="P10" s="646" t="s">
        <v>137</v>
      </c>
      <c r="Q10" s="156"/>
      <c r="R10" s="646" t="s">
        <v>70</v>
      </c>
      <c r="S10" s="156"/>
      <c r="T10" s="646" t="s">
        <v>59</v>
      </c>
      <c r="W10" s="256"/>
    </row>
    <row r="11" spans="1:28" s="152" customFormat="1" ht="12" x14ac:dyDescent="0.2">
      <c r="A11" s="148"/>
      <c r="B11" s="646"/>
      <c r="C11" s="149"/>
      <c r="D11" s="645"/>
      <c r="E11" s="645"/>
      <c r="F11" s="148"/>
      <c r="G11" s="645"/>
      <c r="H11" s="153"/>
      <c r="I11" s="353" t="s">
        <v>51</v>
      </c>
      <c r="J11" s="351" t="s">
        <v>52</v>
      </c>
      <c r="L11" s="646"/>
      <c r="M11" s="156"/>
      <c r="N11" s="646"/>
      <c r="O11" s="156"/>
      <c r="P11" s="646"/>
      <c r="Q11" s="156"/>
      <c r="R11" s="646"/>
      <c r="S11" s="156"/>
      <c r="T11" s="646"/>
      <c r="W11" s="256"/>
    </row>
    <row r="12" spans="1:28" s="155" customFormat="1" x14ac:dyDescent="0.25">
      <c r="A12" s="35"/>
      <c r="B12" s="646"/>
      <c r="C12" s="35"/>
      <c r="D12" s="645"/>
      <c r="E12" s="645"/>
      <c r="F12" s="154"/>
      <c r="G12" s="350" t="s">
        <v>49</v>
      </c>
      <c r="H12" s="35"/>
      <c r="I12" s="350" t="s">
        <v>53</v>
      </c>
      <c r="J12" s="350" t="s">
        <v>54</v>
      </c>
      <c r="K12" s="35"/>
      <c r="L12" s="350" t="s">
        <v>75</v>
      </c>
      <c r="M12" s="156"/>
      <c r="N12" s="350" t="s">
        <v>56</v>
      </c>
      <c r="O12" s="156"/>
      <c r="P12" s="350" t="s">
        <v>57</v>
      </c>
      <c r="Q12" s="156"/>
      <c r="R12" s="350" t="s">
        <v>58</v>
      </c>
      <c r="S12" s="156"/>
      <c r="T12" s="350" t="s">
        <v>60</v>
      </c>
      <c r="W12" s="257"/>
    </row>
    <row r="13" spans="1:28" s="157" customFormat="1" ht="15.75" customHeight="1" x14ac:dyDescent="0.2">
      <c r="C13" s="158"/>
      <c r="D13" s="158"/>
      <c r="H13" s="158"/>
      <c r="I13" s="158"/>
      <c r="M13" s="158"/>
      <c r="O13" s="158"/>
      <c r="Q13" s="158"/>
      <c r="S13" s="158"/>
      <c r="W13" s="246"/>
      <c r="Z13" s="381"/>
      <c r="AA13" s="381"/>
      <c r="AB13" s="381"/>
    </row>
    <row r="14" spans="1:28" s="157" customFormat="1" ht="15.75" customHeight="1" x14ac:dyDescent="0.2">
      <c r="C14" s="158"/>
      <c r="D14" s="158"/>
      <c r="H14" s="158"/>
      <c r="I14" s="158"/>
      <c r="M14" s="158"/>
      <c r="O14" s="158"/>
      <c r="Q14" s="158"/>
      <c r="S14" s="158"/>
      <c r="W14" s="246"/>
      <c r="Z14" s="381"/>
      <c r="AA14" s="381"/>
      <c r="AB14" s="381"/>
    </row>
    <row r="15" spans="1:28" s="159" customFormat="1" ht="15.75" customHeight="1" x14ac:dyDescent="0.25">
      <c r="C15" s="160"/>
      <c r="D15" s="159" t="s">
        <v>62</v>
      </c>
      <c r="G15" s="170">
        <f>SUM(G16:G19)</f>
        <v>136023293</v>
      </c>
      <c r="H15" s="171"/>
      <c r="I15" s="170">
        <f>SUM(I16:I19)</f>
        <v>342974639</v>
      </c>
      <c r="J15" s="170">
        <f>SUM(J16:J19)</f>
        <v>0</v>
      </c>
      <c r="K15" s="170"/>
      <c r="L15" s="170">
        <f>SUM(L16:L19)</f>
        <v>478997932</v>
      </c>
      <c r="M15" s="171"/>
      <c r="N15" s="170">
        <f>SUM(N16:N19)</f>
        <v>20662656</v>
      </c>
      <c r="O15" s="171"/>
      <c r="P15" s="170">
        <f>SUM(P16:P19)</f>
        <v>183047603</v>
      </c>
      <c r="Q15" s="171"/>
      <c r="R15" s="170">
        <f>SUM(R16:R19)</f>
        <v>478997932</v>
      </c>
      <c r="S15" s="171"/>
      <c r="T15" s="170">
        <f>+L15-R15</f>
        <v>0</v>
      </c>
      <c r="W15" s="226"/>
      <c r="Z15" s="386"/>
      <c r="AA15" s="386"/>
      <c r="AB15" s="386"/>
    </row>
    <row r="16" spans="1:28" s="157" customFormat="1" ht="15.75" customHeight="1" x14ac:dyDescent="0.2">
      <c r="C16" s="158"/>
      <c r="D16" s="158"/>
      <c r="G16" s="168"/>
      <c r="H16" s="169"/>
      <c r="I16" s="169"/>
      <c r="J16" s="168"/>
      <c r="K16" s="168"/>
      <c r="L16" s="168"/>
      <c r="M16" s="169"/>
      <c r="N16" s="168"/>
      <c r="O16" s="169"/>
      <c r="P16" s="168"/>
      <c r="Q16" s="169"/>
      <c r="R16" s="168"/>
      <c r="S16" s="169"/>
      <c r="T16" s="168"/>
      <c r="W16" s="246"/>
      <c r="Z16" s="381"/>
      <c r="AA16" s="381"/>
      <c r="AB16" s="381"/>
    </row>
    <row r="17" spans="3:28" s="157" customFormat="1" ht="15.75" customHeight="1" x14ac:dyDescent="0.2">
      <c r="C17" s="158"/>
      <c r="D17" s="158"/>
      <c r="E17" s="157" t="s">
        <v>2</v>
      </c>
      <c r="G17" s="168">
        <v>136023293</v>
      </c>
      <c r="H17" s="169"/>
      <c r="I17" s="169">
        <f>30265811+59000000+65000000+54269703+1160000+133279125</f>
        <v>342974639</v>
      </c>
      <c r="J17" s="168">
        <v>0</v>
      </c>
      <c r="K17" s="168"/>
      <c r="L17" s="168">
        <f>+G17+I17-J17</f>
        <v>478997932</v>
      </c>
      <c r="M17" s="169"/>
      <c r="N17" s="168">
        <f>11335274+9327382</f>
        <v>20662656</v>
      </c>
      <c r="O17" s="169"/>
      <c r="P17" s="168">
        <f>+'INGRESOS BIMESTRAL'!G17</f>
        <v>183047603</v>
      </c>
      <c r="Q17" s="169"/>
      <c r="R17" s="168">
        <f>+'BZA DE COMP'!H62</f>
        <v>478997932</v>
      </c>
      <c r="S17" s="169"/>
      <c r="T17" s="168">
        <f>+L17-R17</f>
        <v>0</v>
      </c>
      <c r="W17" s="231">
        <v>11007367.710000001</v>
      </c>
      <c r="Z17" s="381">
        <v>25000000</v>
      </c>
      <c r="AA17" s="381" t="s">
        <v>918</v>
      </c>
      <c r="AB17" s="381"/>
    </row>
    <row r="18" spans="3:28" s="157" customFormat="1" ht="15.75" customHeight="1" x14ac:dyDescent="0.2">
      <c r="C18" s="158"/>
      <c r="D18" s="158"/>
      <c r="G18" s="168"/>
      <c r="H18" s="169"/>
      <c r="I18" s="169"/>
      <c r="J18" s="168"/>
      <c r="K18" s="168"/>
      <c r="L18" s="168"/>
      <c r="M18" s="169"/>
      <c r="N18" s="168"/>
      <c r="O18" s="169"/>
      <c r="P18" s="168"/>
      <c r="Q18" s="169"/>
      <c r="R18" s="168"/>
      <c r="S18" s="169"/>
      <c r="T18" s="168"/>
      <c r="W18" s="525">
        <v>11335274</v>
      </c>
      <c r="X18" s="453"/>
      <c r="Z18" s="381">
        <v>34000000</v>
      </c>
      <c r="AA18" s="381" t="s">
        <v>919</v>
      </c>
      <c r="AB18" s="381"/>
    </row>
    <row r="19" spans="3:28" s="157" customFormat="1" ht="15.75" customHeight="1" x14ac:dyDescent="0.2">
      <c r="C19" s="158"/>
      <c r="D19" s="158"/>
      <c r="G19" s="168"/>
      <c r="H19" s="169"/>
      <c r="I19" s="169"/>
      <c r="J19" s="168"/>
      <c r="K19" s="168"/>
      <c r="L19" s="168"/>
      <c r="M19" s="169"/>
      <c r="N19" s="168"/>
      <c r="O19" s="169"/>
      <c r="P19" s="168"/>
      <c r="Q19" s="169"/>
      <c r="R19" s="168"/>
      <c r="S19" s="169"/>
      <c r="T19" s="168"/>
      <c r="W19" s="525">
        <v>11335274</v>
      </c>
      <c r="Z19" s="381">
        <v>25000000</v>
      </c>
      <c r="AA19" s="381" t="s">
        <v>920</v>
      </c>
      <c r="AB19" s="381"/>
    </row>
    <row r="20" spans="3:28" s="159" customFormat="1" ht="15.75" customHeight="1" x14ac:dyDescent="0.25">
      <c r="C20" s="160"/>
      <c r="D20" s="159" t="s">
        <v>63</v>
      </c>
      <c r="G20" s="170">
        <f>SUM(F21:G25)</f>
        <v>4775623338</v>
      </c>
      <c r="H20" s="171"/>
      <c r="I20" s="170">
        <f>SUM(H21:I25)</f>
        <v>528264267.80000001</v>
      </c>
      <c r="J20" s="170">
        <f>SUM(J21:J25)</f>
        <v>0</v>
      </c>
      <c r="K20" s="170"/>
      <c r="L20" s="170">
        <f>+G20+I20-J20</f>
        <v>5303887605.8000002</v>
      </c>
      <c r="M20" s="171"/>
      <c r="N20" s="170">
        <f>SUM(M21:N25)</f>
        <v>1573993260</v>
      </c>
      <c r="O20" s="171"/>
      <c r="P20" s="170">
        <f>SUM(O21:P25)</f>
        <v>2824149680</v>
      </c>
      <c r="Q20" s="171"/>
      <c r="R20" s="170">
        <f>SUM(Q21:R25)</f>
        <v>5303887606</v>
      </c>
      <c r="S20" s="171"/>
      <c r="T20" s="170">
        <f>+L20-R20</f>
        <v>-0.19999980926513672</v>
      </c>
      <c r="W20" s="525">
        <v>11335274</v>
      </c>
      <c r="Z20" s="386">
        <v>5265811.91</v>
      </c>
      <c r="AA20" s="386" t="s">
        <v>918</v>
      </c>
      <c r="AB20" s="386"/>
    </row>
    <row r="21" spans="3:28" s="157" customFormat="1" ht="15.75" customHeight="1" x14ac:dyDescent="0.2">
      <c r="C21" s="158"/>
      <c r="D21" s="158"/>
      <c r="G21" s="168"/>
      <c r="H21" s="169"/>
      <c r="I21" s="169"/>
      <c r="J21" s="168"/>
      <c r="K21" s="168"/>
      <c r="L21" s="168"/>
      <c r="M21" s="169"/>
      <c r="N21" s="168"/>
      <c r="O21" s="169"/>
      <c r="P21" s="168"/>
      <c r="Q21" s="169"/>
      <c r="R21" s="168"/>
      <c r="S21" s="169"/>
      <c r="T21" s="168"/>
      <c r="W21" s="525">
        <v>11335274</v>
      </c>
      <c r="X21" s="449"/>
      <c r="Z21" s="381"/>
      <c r="AA21" s="381"/>
      <c r="AB21" s="381"/>
    </row>
    <row r="22" spans="3:28" s="157" customFormat="1" ht="15.75" customHeight="1" x14ac:dyDescent="0.2">
      <c r="C22" s="158"/>
      <c r="D22" s="158"/>
      <c r="E22" s="157" t="s">
        <v>36</v>
      </c>
      <c r="G22" s="168">
        <v>0</v>
      </c>
      <c r="H22" s="169"/>
      <c r="I22" s="169">
        <f>570133+150583485+12768151+986031.8+391666+2241111</f>
        <v>167540577.80000001</v>
      </c>
      <c r="J22" s="168">
        <v>0</v>
      </c>
      <c r="K22" s="168"/>
      <c r="L22" s="168">
        <f>+G22+I22-J22</f>
        <v>167540577.80000001</v>
      </c>
      <c r="M22" s="169"/>
      <c r="N22" s="168">
        <v>0</v>
      </c>
      <c r="O22" s="169"/>
      <c r="P22" s="168">
        <f>+'BZA DE COMP'!F63</f>
        <v>2241111</v>
      </c>
      <c r="Q22" s="169"/>
      <c r="R22" s="168">
        <f>+'BZA DE COMP'!H63</f>
        <v>167540578</v>
      </c>
      <c r="S22" s="169"/>
      <c r="T22" s="168">
        <f>+L22-R22</f>
        <v>-0.19999998807907104</v>
      </c>
      <c r="W22" s="231">
        <v>9327382.3800000008</v>
      </c>
      <c r="Z22" s="526"/>
      <c r="AA22" s="381"/>
      <c r="AB22" s="381"/>
    </row>
    <row r="23" spans="3:28" s="157" customFormat="1" ht="15.75" customHeight="1" x14ac:dyDescent="0.2">
      <c r="C23" s="158"/>
      <c r="D23" s="158"/>
      <c r="G23" s="168"/>
      <c r="H23" s="169"/>
      <c r="I23" s="169"/>
      <c r="J23" s="168"/>
      <c r="K23" s="168"/>
      <c r="L23" s="168"/>
      <c r="M23" s="169"/>
      <c r="N23" s="168"/>
      <c r="O23" s="169"/>
      <c r="P23" s="168"/>
      <c r="Q23" s="169"/>
      <c r="R23" s="168"/>
      <c r="S23" s="169"/>
      <c r="T23" s="168"/>
      <c r="W23" s="525">
        <f>SUM(W17:W22)</f>
        <v>65675846.090000004</v>
      </c>
      <c r="X23" s="391"/>
      <c r="Z23" s="381">
        <f>SUM(Z17:Z22)</f>
        <v>89265811.909999996</v>
      </c>
      <c r="AA23" s="381"/>
      <c r="AB23" s="381"/>
    </row>
    <row r="24" spans="3:28" s="157" customFormat="1" ht="15.75" customHeight="1" x14ac:dyDescent="0.2">
      <c r="C24" s="158"/>
      <c r="D24" s="158"/>
      <c r="E24" s="157" t="s">
        <v>1002</v>
      </c>
      <c r="G24" s="168">
        <f>4872494614-96871276</f>
        <v>4775623338</v>
      </c>
      <c r="H24" s="169"/>
      <c r="I24" s="169">
        <v>360723690</v>
      </c>
      <c r="J24" s="168">
        <v>0</v>
      </c>
      <c r="K24" s="168"/>
      <c r="L24" s="168">
        <f>+G24+I24-J24</f>
        <v>5136347028</v>
      </c>
      <c r="M24" s="169"/>
      <c r="N24" s="169">
        <f>319134441+1254858819</f>
        <v>1573993260</v>
      </c>
      <c r="O24" s="169"/>
      <c r="P24" s="168">
        <f>+'EDO ING Y EGR'!I21</f>
        <v>2821908569</v>
      </c>
      <c r="Q24" s="169"/>
      <c r="R24" s="168">
        <f>+'BZA DE COMP'!H64</f>
        <v>5136347028</v>
      </c>
      <c r="S24" s="169"/>
      <c r="T24" s="168">
        <f>+L24-R24</f>
        <v>0</v>
      </c>
      <c r="V24" s="168"/>
      <c r="W24" s="231">
        <f>+W23-T17</f>
        <v>65675846.090000004</v>
      </c>
      <c r="X24" s="168"/>
      <c r="Z24" s="381">
        <f>+R17-Z23</f>
        <v>389732120.09000003</v>
      </c>
      <c r="AA24" s="381"/>
      <c r="AB24" s="381"/>
    </row>
    <row r="25" spans="3:28" s="157" customFormat="1" ht="15.75" customHeight="1" x14ac:dyDescent="0.2">
      <c r="C25" s="158"/>
      <c r="D25" s="158"/>
      <c r="G25" s="168"/>
      <c r="H25" s="169"/>
      <c r="I25" s="169"/>
      <c r="J25" s="168"/>
      <c r="K25" s="168"/>
      <c r="L25" s="168"/>
      <c r="M25" s="169"/>
      <c r="N25" s="168"/>
      <c r="O25" s="169"/>
      <c r="Q25" s="169"/>
      <c r="R25" s="168"/>
      <c r="S25" s="169"/>
      <c r="T25" s="168"/>
      <c r="V25" s="168"/>
      <c r="W25" s="231"/>
      <c r="Z25" s="381"/>
      <c r="AA25" s="381"/>
      <c r="AB25" s="381"/>
    </row>
    <row r="26" spans="3:28" s="157" customFormat="1" ht="15.75" customHeight="1" x14ac:dyDescent="0.2">
      <c r="C26" s="158"/>
      <c r="W26" s="231"/>
      <c r="Z26" s="381"/>
      <c r="AA26" s="381"/>
      <c r="AB26" s="381"/>
    </row>
    <row r="27" spans="3:28" s="157" customFormat="1" ht="15.75" customHeight="1" x14ac:dyDescent="0.2">
      <c r="C27" s="158"/>
      <c r="D27" s="159" t="s">
        <v>64</v>
      </c>
      <c r="E27" s="159"/>
      <c r="F27" s="159"/>
      <c r="G27" s="170">
        <f>SUM(G28:G33)</f>
        <v>1854250</v>
      </c>
      <c r="H27" s="171"/>
      <c r="I27" s="170">
        <f>SUM(I28:I33)</f>
        <v>11680813</v>
      </c>
      <c r="J27" s="170">
        <f>SUM(J28:J33)</f>
        <v>1790277</v>
      </c>
      <c r="K27" s="170"/>
      <c r="L27" s="170">
        <f>+G27+I27-J27</f>
        <v>11744786</v>
      </c>
      <c r="M27" s="171"/>
      <c r="N27" s="170">
        <f>SUM(N28:N33)</f>
        <v>309041.66666666669</v>
      </c>
      <c r="O27" s="171"/>
      <c r="P27" s="170">
        <f>SUM(P28:P33)</f>
        <v>7347889</v>
      </c>
      <c r="Q27" s="171"/>
      <c r="R27" s="170">
        <f>SUM(R28:R33)</f>
        <v>11744786</v>
      </c>
      <c r="S27" s="171"/>
      <c r="T27" s="170">
        <f>+L27-R27</f>
        <v>0</v>
      </c>
      <c r="W27" s="246"/>
      <c r="Z27" s="381"/>
      <c r="AA27" s="381"/>
      <c r="AB27" s="381"/>
    </row>
    <row r="28" spans="3:28" s="157" customFormat="1" ht="15.75" customHeight="1" x14ac:dyDescent="0.2">
      <c r="C28" s="158"/>
      <c r="D28" s="158"/>
      <c r="G28" s="168"/>
      <c r="H28" s="169"/>
      <c r="I28" s="169"/>
      <c r="J28" s="168"/>
      <c r="K28" s="168"/>
      <c r="L28" s="168"/>
      <c r="M28" s="169"/>
      <c r="N28" s="168"/>
      <c r="O28" s="169"/>
      <c r="P28" s="168"/>
      <c r="Q28" s="169"/>
      <c r="R28" s="168"/>
      <c r="S28" s="169"/>
      <c r="T28" s="168"/>
      <c r="W28" s="246"/>
      <c r="Z28" s="381"/>
      <c r="AA28" s="381"/>
      <c r="AB28" s="381"/>
    </row>
    <row r="29" spans="3:28" s="157" customFormat="1" ht="15.75" customHeight="1" x14ac:dyDescent="0.2">
      <c r="C29" s="158"/>
      <c r="D29" s="158"/>
      <c r="E29" s="157" t="s">
        <v>61</v>
      </c>
      <c r="G29" s="168">
        <v>0</v>
      </c>
      <c r="H29" s="169"/>
      <c r="I29" s="169">
        <v>0</v>
      </c>
      <c r="J29" s="168">
        <v>0</v>
      </c>
      <c r="K29" s="168"/>
      <c r="L29" s="168">
        <f>+G29+I29-J29</f>
        <v>0</v>
      </c>
      <c r="M29" s="169"/>
      <c r="N29" s="168">
        <v>0</v>
      </c>
      <c r="O29" s="169"/>
      <c r="P29" s="168">
        <f>+'EDO ING Y EGR'!I25</f>
        <v>0</v>
      </c>
      <c r="Q29" s="169"/>
      <c r="R29" s="168">
        <f>+P29</f>
        <v>0</v>
      </c>
      <c r="S29" s="169"/>
      <c r="T29" s="168">
        <f>+L29-R29</f>
        <v>0</v>
      </c>
      <c r="W29" s="527">
        <v>319134441</v>
      </c>
      <c r="X29" s="527">
        <v>340548362</v>
      </c>
      <c r="Z29" s="381"/>
      <c r="AA29" s="381"/>
      <c r="AB29" s="381"/>
    </row>
    <row r="30" spans="3:28" s="157" customFormat="1" ht="15.75" customHeight="1" x14ac:dyDescent="0.2">
      <c r="C30" s="158"/>
      <c r="D30" s="158"/>
      <c r="G30" s="168"/>
      <c r="H30" s="169"/>
      <c r="I30" s="169"/>
      <c r="J30" s="168"/>
      <c r="K30" s="168"/>
      <c r="L30" s="168"/>
      <c r="M30" s="169"/>
      <c r="N30" s="168"/>
      <c r="O30" s="169"/>
      <c r="P30" s="168"/>
      <c r="Q30" s="169"/>
      <c r="R30" s="168"/>
      <c r="S30" s="169"/>
      <c r="T30" s="168"/>
      <c r="W30" s="246"/>
      <c r="Z30" s="381"/>
      <c r="AA30" s="381"/>
      <c r="AB30" s="381"/>
    </row>
    <row r="31" spans="3:28" s="157" customFormat="1" ht="15.75" customHeight="1" x14ac:dyDescent="0.2">
      <c r="C31" s="158"/>
      <c r="D31" s="158"/>
      <c r="E31" s="157" t="s">
        <v>10</v>
      </c>
      <c r="G31" s="168">
        <v>1790277.1</v>
      </c>
      <c r="H31" s="169"/>
      <c r="I31" s="169">
        <v>0</v>
      </c>
      <c r="J31" s="168">
        <v>1790277</v>
      </c>
      <c r="K31" s="168"/>
      <c r="L31" s="168">
        <f>+G31+I31-J31</f>
        <v>0.10000000009313226</v>
      </c>
      <c r="M31" s="169"/>
      <c r="N31" s="168">
        <f>+(G31/12)*2</f>
        <v>298379.51666666666</v>
      </c>
      <c r="O31" s="169"/>
      <c r="P31" s="168">
        <f>+'EDO ING Y EGR'!I26</f>
        <v>127022</v>
      </c>
      <c r="Q31" s="169"/>
      <c r="R31" s="168">
        <f>+'BZA DE COMP'!H66</f>
        <v>127022</v>
      </c>
      <c r="S31" s="169"/>
      <c r="T31" s="168">
        <f>+L31-R31</f>
        <v>-127021.89999999991</v>
      </c>
      <c r="W31" s="246"/>
      <c r="Z31" s="381"/>
      <c r="AA31" s="381"/>
      <c r="AB31" s="381"/>
    </row>
    <row r="32" spans="3:28" s="157" customFormat="1" ht="15.75" customHeight="1" x14ac:dyDescent="0.2">
      <c r="C32" s="158"/>
      <c r="D32" s="158"/>
      <c r="G32" s="168"/>
      <c r="H32" s="169"/>
      <c r="I32" s="169"/>
      <c r="J32" s="168"/>
      <c r="K32" s="168"/>
      <c r="L32" s="168"/>
      <c r="M32" s="169"/>
      <c r="N32" s="168"/>
      <c r="O32" s="169"/>
      <c r="P32" s="168"/>
      <c r="Q32" s="169"/>
      <c r="R32" s="168"/>
      <c r="S32" s="169"/>
      <c r="T32" s="168"/>
      <c r="W32" s="246"/>
      <c r="Z32" s="381"/>
      <c r="AA32" s="381"/>
      <c r="AB32" s="381"/>
    </row>
    <row r="33" spans="3:23" s="157" customFormat="1" ht="15.75" customHeight="1" x14ac:dyDescent="0.2">
      <c r="C33" s="158"/>
      <c r="D33" s="158"/>
      <c r="E33" s="157" t="s">
        <v>11</v>
      </c>
      <c r="G33" s="168">
        <v>63972.900000000023</v>
      </c>
      <c r="H33" s="169"/>
      <c r="I33" s="169">
        <f>2406966+78466+1847492+7347889</f>
        <v>11680813</v>
      </c>
      <c r="J33" s="168">
        <v>0</v>
      </c>
      <c r="K33" s="168"/>
      <c r="L33" s="168">
        <f>+G33+I33-J33</f>
        <v>11744785.9</v>
      </c>
      <c r="M33" s="169"/>
      <c r="N33" s="168">
        <f>+(G33/12)*2</f>
        <v>10662.150000000003</v>
      </c>
      <c r="O33" s="169"/>
      <c r="P33" s="168">
        <f>+'EDO ING Y EGR'!I30</f>
        <v>7220867</v>
      </c>
      <c r="Q33" s="169"/>
      <c r="R33" s="168">
        <f>+'BZA DE COMP'!H67</f>
        <v>11617764</v>
      </c>
      <c r="S33" s="169"/>
      <c r="T33" s="168">
        <f>+L33-R33</f>
        <v>127021.90000000037</v>
      </c>
      <c r="W33" s="246"/>
    </row>
    <row r="34" spans="3:23" s="157" customFormat="1" ht="15.75" customHeight="1" x14ac:dyDescent="0.2">
      <c r="C34" s="158"/>
      <c r="D34" s="158"/>
      <c r="H34" s="169"/>
      <c r="I34" s="169"/>
      <c r="J34" s="168"/>
      <c r="K34" s="168"/>
      <c r="L34" s="168"/>
      <c r="M34" s="169"/>
      <c r="N34" s="168"/>
      <c r="O34" s="169"/>
      <c r="P34" s="168"/>
      <c r="Q34" s="169"/>
      <c r="R34" s="168"/>
      <c r="S34" s="169"/>
      <c r="T34" s="168"/>
      <c r="W34" s="246"/>
    </row>
    <row r="35" spans="3:23" s="157" customFormat="1" ht="15.75" customHeight="1" x14ac:dyDescent="0.2">
      <c r="C35" s="158"/>
      <c r="D35" s="158"/>
      <c r="H35" s="169"/>
      <c r="I35" s="169"/>
      <c r="J35" s="168"/>
      <c r="K35" s="168"/>
      <c r="L35" s="168"/>
      <c r="M35" s="169"/>
      <c r="N35" s="168"/>
      <c r="O35" s="169"/>
      <c r="P35" s="168"/>
      <c r="Q35" s="169"/>
      <c r="R35" s="168"/>
      <c r="S35" s="169"/>
      <c r="T35" s="168"/>
      <c r="W35" s="246"/>
    </row>
    <row r="36" spans="3:23" s="157" customFormat="1" ht="15.75" customHeight="1" x14ac:dyDescent="0.2">
      <c r="C36" s="158"/>
      <c r="D36" s="158"/>
      <c r="G36" s="168"/>
      <c r="H36" s="169"/>
      <c r="I36" s="169"/>
      <c r="J36" s="168"/>
      <c r="K36" s="168"/>
      <c r="L36" s="168"/>
      <c r="M36" s="169"/>
      <c r="N36" s="168"/>
      <c r="O36" s="169"/>
      <c r="P36" s="168"/>
      <c r="Q36" s="169"/>
      <c r="R36" s="168"/>
      <c r="S36" s="169"/>
      <c r="T36" s="168"/>
      <c r="W36" s="246"/>
    </row>
    <row r="37" spans="3:23" s="157" customFormat="1" ht="15.75" customHeight="1" x14ac:dyDescent="0.2">
      <c r="C37" s="158"/>
      <c r="D37" s="158"/>
      <c r="G37" s="168"/>
      <c r="H37" s="169"/>
      <c r="I37" s="169"/>
      <c r="J37" s="168"/>
      <c r="K37" s="168"/>
      <c r="L37" s="168"/>
      <c r="M37" s="169"/>
      <c r="N37" s="168"/>
      <c r="O37" s="169"/>
      <c r="P37" s="168"/>
      <c r="Q37" s="169"/>
      <c r="R37" s="168"/>
      <c r="S37" s="169"/>
      <c r="T37" s="168"/>
      <c r="W37" s="246"/>
    </row>
    <row r="38" spans="3:23" s="157" customFormat="1" ht="15.75" customHeight="1" x14ac:dyDescent="0.2">
      <c r="C38" s="158"/>
      <c r="D38" s="158"/>
      <c r="G38" s="168"/>
      <c r="H38" s="169"/>
      <c r="I38" s="169"/>
      <c r="J38" s="168"/>
      <c r="K38" s="168"/>
      <c r="L38" s="168"/>
      <c r="M38" s="169"/>
      <c r="N38" s="168"/>
      <c r="O38" s="169"/>
      <c r="P38" s="168"/>
      <c r="Q38" s="169"/>
      <c r="R38" s="168"/>
      <c r="S38" s="169"/>
      <c r="T38" s="168"/>
      <c r="W38" s="246"/>
    </row>
    <row r="39" spans="3:23" s="157" customFormat="1" ht="15.75" customHeight="1" x14ac:dyDescent="0.2">
      <c r="C39" s="158"/>
      <c r="D39" s="158"/>
      <c r="G39" s="168"/>
      <c r="H39" s="169"/>
      <c r="I39" s="169"/>
      <c r="J39" s="168"/>
      <c r="K39" s="168"/>
      <c r="L39" s="168"/>
      <c r="M39" s="169"/>
      <c r="N39" s="168"/>
      <c r="O39" s="169"/>
      <c r="P39" s="168"/>
      <c r="Q39" s="169"/>
      <c r="R39" s="168"/>
      <c r="S39" s="169"/>
      <c r="T39" s="168"/>
      <c r="W39" s="246"/>
    </row>
    <row r="40" spans="3:23" s="157" customFormat="1" ht="15.75" customHeight="1" x14ac:dyDescent="0.2">
      <c r="C40" s="158"/>
      <c r="D40" s="158"/>
      <c r="G40" s="168"/>
      <c r="H40" s="169"/>
      <c r="I40" s="169"/>
      <c r="J40" s="168"/>
      <c r="K40" s="168"/>
      <c r="L40" s="168"/>
      <c r="M40" s="169"/>
      <c r="N40" s="168"/>
      <c r="O40" s="169"/>
      <c r="P40" s="168"/>
      <c r="Q40" s="169"/>
      <c r="R40" s="168"/>
      <c r="S40" s="169"/>
      <c r="T40" s="168"/>
      <c r="W40" s="246"/>
    </row>
    <row r="41" spans="3:23" s="157" customFormat="1" ht="15.75" customHeight="1" x14ac:dyDescent="0.2">
      <c r="C41" s="158"/>
      <c r="D41" s="158"/>
      <c r="G41" s="168"/>
      <c r="H41" s="169"/>
      <c r="I41" s="169"/>
      <c r="J41" s="168"/>
      <c r="K41" s="168"/>
      <c r="L41" s="168"/>
      <c r="M41" s="169"/>
      <c r="N41" s="168"/>
      <c r="O41" s="169"/>
      <c r="P41" s="168"/>
      <c r="Q41" s="169"/>
      <c r="R41" s="168"/>
      <c r="S41" s="169"/>
      <c r="T41" s="168"/>
      <c r="W41" s="246"/>
    </row>
    <row r="42" spans="3:23" s="157" customFormat="1" ht="15.75" customHeight="1" x14ac:dyDescent="0.2">
      <c r="C42" s="158"/>
      <c r="D42" s="158"/>
      <c r="G42" s="168"/>
      <c r="H42" s="169"/>
      <c r="I42" s="169"/>
      <c r="J42" s="168"/>
      <c r="K42" s="168"/>
      <c r="L42" s="168"/>
      <c r="M42" s="169"/>
      <c r="N42" s="168"/>
      <c r="O42" s="169"/>
      <c r="P42" s="168"/>
      <c r="Q42" s="169"/>
      <c r="R42" s="168"/>
      <c r="S42" s="169"/>
      <c r="T42" s="168"/>
      <c r="W42" s="246"/>
    </row>
    <row r="43" spans="3:23" s="157" customFormat="1" ht="15.75" customHeight="1" x14ac:dyDescent="0.2">
      <c r="C43" s="158"/>
      <c r="D43" s="158"/>
      <c r="G43" s="168"/>
      <c r="H43" s="169"/>
      <c r="I43" s="169"/>
      <c r="J43" s="168"/>
      <c r="K43" s="168"/>
      <c r="L43" s="168"/>
      <c r="M43" s="169"/>
      <c r="N43" s="168"/>
      <c r="O43" s="169"/>
      <c r="P43" s="168"/>
      <c r="Q43" s="169"/>
      <c r="R43" s="168"/>
      <c r="S43" s="169"/>
      <c r="T43" s="168"/>
      <c r="W43" s="246"/>
    </row>
    <row r="44" spans="3:23" s="157" customFormat="1" ht="15.75" customHeight="1" x14ac:dyDescent="0.2">
      <c r="C44" s="158"/>
      <c r="D44" s="158"/>
      <c r="G44" s="168"/>
      <c r="H44" s="169"/>
      <c r="I44" s="169"/>
      <c r="J44" s="168"/>
      <c r="K44" s="168"/>
      <c r="L44" s="168"/>
      <c r="M44" s="169"/>
      <c r="N44" s="168"/>
      <c r="O44" s="169"/>
      <c r="P44" s="168"/>
      <c r="Q44" s="169"/>
      <c r="R44" s="168"/>
      <c r="S44" s="169"/>
      <c r="T44" s="168"/>
      <c r="W44" s="246"/>
    </row>
    <row r="45" spans="3:23" s="157" customFormat="1" ht="15.75" customHeight="1" x14ac:dyDescent="0.2">
      <c r="C45" s="158"/>
      <c r="D45" s="158"/>
      <c r="G45" s="168"/>
      <c r="H45" s="169"/>
      <c r="I45" s="169"/>
      <c r="J45" s="168"/>
      <c r="K45" s="168"/>
      <c r="L45" s="168"/>
      <c r="M45" s="168"/>
      <c r="N45" s="168"/>
      <c r="O45" s="169"/>
      <c r="P45" s="168"/>
      <c r="Q45" s="169"/>
      <c r="R45" s="168"/>
      <c r="S45" s="169"/>
      <c r="T45" s="168"/>
      <c r="W45" s="246"/>
    </row>
    <row r="46" spans="3:23" s="157" customFormat="1" ht="15.75" customHeight="1" x14ac:dyDescent="0.2">
      <c r="C46" s="158"/>
      <c r="D46" s="158"/>
      <c r="G46" s="168"/>
      <c r="H46" s="169"/>
      <c r="I46" s="169"/>
      <c r="J46" s="168"/>
      <c r="K46" s="168"/>
      <c r="L46" s="168"/>
      <c r="M46" s="168"/>
      <c r="N46" s="168"/>
      <c r="O46" s="169"/>
      <c r="P46" s="168"/>
      <c r="Q46" s="169"/>
      <c r="R46" s="168"/>
      <c r="S46" s="169"/>
      <c r="T46" s="168"/>
      <c r="W46" s="246"/>
    </row>
    <row r="47" spans="3:23" s="157" customFormat="1" ht="15.75" customHeight="1" x14ac:dyDescent="0.2">
      <c r="C47" s="158"/>
      <c r="D47" s="158"/>
      <c r="G47" s="168"/>
      <c r="H47" s="169"/>
      <c r="I47" s="169"/>
      <c r="J47" s="168"/>
      <c r="K47" s="168"/>
      <c r="L47" s="168"/>
      <c r="M47" s="168"/>
      <c r="N47" s="168"/>
      <c r="O47" s="169"/>
      <c r="P47" s="168"/>
      <c r="Q47" s="169"/>
      <c r="R47" s="168"/>
      <c r="S47" s="169"/>
      <c r="T47" s="168"/>
      <c r="W47" s="246"/>
    </row>
    <row r="48" spans="3:23" s="157" customFormat="1" ht="15.75" customHeight="1" x14ac:dyDescent="0.2">
      <c r="C48" s="158"/>
      <c r="D48" s="158"/>
      <c r="G48" s="168"/>
      <c r="H48" s="169"/>
      <c r="I48" s="169"/>
      <c r="J48" s="168"/>
      <c r="K48" s="168"/>
      <c r="L48" s="168"/>
      <c r="M48" s="168"/>
      <c r="N48" s="168"/>
      <c r="O48" s="169"/>
      <c r="P48" s="168"/>
      <c r="Q48" s="169"/>
      <c r="R48" s="168"/>
      <c r="S48" s="169"/>
      <c r="T48" s="168"/>
      <c r="W48" s="246"/>
    </row>
    <row r="49" spans="1:23" s="157" customFormat="1" ht="15.75" customHeight="1" x14ac:dyDescent="0.2">
      <c r="C49" s="158"/>
      <c r="D49" s="158"/>
      <c r="G49" s="168"/>
      <c r="H49" s="169"/>
      <c r="I49" s="169"/>
      <c r="J49" s="168"/>
      <c r="K49" s="168"/>
      <c r="L49" s="168"/>
      <c r="M49" s="168"/>
      <c r="N49" s="168"/>
      <c r="O49" s="169"/>
      <c r="P49" s="168"/>
      <c r="Q49" s="169"/>
      <c r="R49" s="168"/>
      <c r="S49" s="169"/>
      <c r="T49" s="168"/>
      <c r="W49" s="246"/>
    </row>
    <row r="50" spans="1:23" s="157" customFormat="1" ht="15.75" hidden="1" customHeight="1" x14ac:dyDescent="0.2">
      <c r="C50" s="158"/>
      <c r="D50" s="158"/>
      <c r="G50" s="168"/>
      <c r="H50" s="169"/>
      <c r="I50" s="169"/>
      <c r="J50" s="168"/>
      <c r="K50" s="168"/>
      <c r="L50" s="168"/>
      <c r="M50" s="168"/>
      <c r="N50" s="168"/>
      <c r="O50" s="169"/>
      <c r="P50" s="168"/>
      <c r="Q50" s="169"/>
      <c r="R50" s="168"/>
      <c r="S50" s="169"/>
      <c r="T50" s="168"/>
      <c r="W50" s="246"/>
    </row>
    <row r="51" spans="1:23" s="157" customFormat="1" ht="15.75" customHeight="1" x14ac:dyDescent="0.2">
      <c r="C51" s="158"/>
      <c r="D51" s="158"/>
      <c r="G51" s="168"/>
      <c r="H51" s="169"/>
      <c r="I51" s="169"/>
      <c r="J51" s="168"/>
      <c r="K51" s="168"/>
      <c r="L51" s="168"/>
      <c r="M51" s="168"/>
      <c r="N51" s="168"/>
      <c r="O51" s="169"/>
      <c r="P51" s="168"/>
      <c r="Q51" s="169"/>
      <c r="R51" s="168"/>
      <c r="S51" s="169"/>
      <c r="T51" s="168"/>
      <c r="W51" s="246"/>
    </row>
    <row r="52" spans="1:23" s="157" customFormat="1" ht="15.75" customHeight="1" x14ac:dyDescent="0.2">
      <c r="C52" s="158"/>
      <c r="D52" s="158"/>
      <c r="G52" s="168"/>
      <c r="H52" s="169"/>
      <c r="I52" s="169"/>
      <c r="J52" s="168"/>
      <c r="K52" s="168"/>
      <c r="L52" s="168"/>
      <c r="M52" s="168"/>
      <c r="N52" s="168"/>
      <c r="O52" s="169"/>
      <c r="P52" s="168"/>
      <c r="Q52" s="169"/>
      <c r="R52" s="168"/>
      <c r="S52" s="169"/>
      <c r="T52" s="168"/>
      <c r="W52" s="246"/>
    </row>
    <row r="53" spans="1:23" s="157" customFormat="1" ht="15.75" customHeight="1" x14ac:dyDescent="0.2">
      <c r="C53" s="158"/>
      <c r="D53" s="158"/>
      <c r="G53" s="168"/>
      <c r="H53" s="169"/>
      <c r="I53" s="169"/>
      <c r="J53" s="168"/>
      <c r="K53" s="168"/>
      <c r="L53" s="168"/>
      <c r="M53" s="168"/>
      <c r="N53" s="168"/>
      <c r="O53" s="169"/>
      <c r="P53" s="168"/>
      <c r="Q53" s="169"/>
      <c r="R53" s="168"/>
      <c r="S53" s="169"/>
      <c r="T53" s="168"/>
      <c r="W53" s="246"/>
    </row>
    <row r="54" spans="1:23" s="157" customFormat="1" ht="15.75" customHeight="1" x14ac:dyDescent="0.2">
      <c r="C54" s="158"/>
      <c r="D54" s="158"/>
      <c r="G54" s="168"/>
      <c r="H54" s="169"/>
      <c r="I54" s="169"/>
      <c r="J54" s="168"/>
      <c r="K54" s="168"/>
      <c r="L54" s="168"/>
      <c r="M54" s="168"/>
      <c r="N54" s="168"/>
      <c r="O54" s="169"/>
      <c r="P54" s="168"/>
      <c r="Q54" s="169"/>
      <c r="R54" s="168"/>
      <c r="S54" s="169"/>
      <c r="T54" s="168"/>
      <c r="W54" s="246"/>
    </row>
    <row r="55" spans="1:23" s="157" customFormat="1" ht="15.75" customHeight="1" x14ac:dyDescent="0.2">
      <c r="C55" s="158"/>
      <c r="D55" s="158"/>
      <c r="G55" s="168"/>
      <c r="H55" s="169"/>
      <c r="I55" s="169"/>
      <c r="J55" s="168"/>
      <c r="K55" s="168"/>
      <c r="L55" s="168"/>
      <c r="M55" s="168"/>
      <c r="N55" s="168"/>
      <c r="O55" s="169"/>
      <c r="P55" s="168"/>
      <c r="Q55" s="169"/>
      <c r="R55" s="168"/>
      <c r="S55" s="169"/>
      <c r="T55" s="168"/>
      <c r="W55" s="246"/>
    </row>
    <row r="56" spans="1:23" s="157" customFormat="1" ht="15.75" customHeight="1" x14ac:dyDescent="0.2">
      <c r="C56" s="158"/>
      <c r="D56" s="158"/>
      <c r="G56" s="168"/>
      <c r="H56" s="169"/>
      <c r="I56" s="169"/>
      <c r="J56" s="168"/>
      <c r="K56" s="168"/>
      <c r="L56" s="168"/>
      <c r="M56" s="168"/>
      <c r="N56" s="168"/>
      <c r="O56" s="169"/>
      <c r="P56" s="168"/>
      <c r="Q56" s="169"/>
      <c r="R56" s="168"/>
      <c r="S56" s="169"/>
      <c r="T56" s="168"/>
      <c r="W56" s="246"/>
    </row>
    <row r="57" spans="1:23" s="157" customFormat="1" ht="15.75" customHeight="1" x14ac:dyDescent="0.2">
      <c r="C57" s="158"/>
      <c r="D57" s="158"/>
      <c r="G57" s="168"/>
      <c r="H57" s="169"/>
      <c r="I57" s="169"/>
      <c r="J57" s="168"/>
      <c r="K57" s="168"/>
      <c r="L57" s="168"/>
      <c r="M57" s="168"/>
      <c r="N57" s="168"/>
      <c r="O57" s="169"/>
      <c r="P57" s="168"/>
      <c r="Q57" s="169"/>
      <c r="R57" s="168"/>
      <c r="S57" s="169"/>
      <c r="T57" s="168"/>
      <c r="W57" s="246"/>
    </row>
    <row r="58" spans="1:23" s="157" customFormat="1" ht="15.75" customHeight="1" x14ac:dyDescent="0.2">
      <c r="C58" s="158"/>
      <c r="D58" s="158"/>
      <c r="G58" s="168"/>
      <c r="H58" s="169"/>
      <c r="I58" s="169"/>
      <c r="J58" s="168"/>
      <c r="K58" s="168"/>
      <c r="L58" s="168"/>
      <c r="M58" s="168"/>
      <c r="N58" s="168"/>
      <c r="O58" s="169"/>
      <c r="P58" s="168"/>
      <c r="Q58" s="169"/>
      <c r="R58" s="168"/>
      <c r="S58" s="169"/>
      <c r="T58" s="168"/>
      <c r="W58" s="246"/>
    </row>
    <row r="59" spans="1:23" s="157" customFormat="1" ht="15.75" customHeight="1" x14ac:dyDescent="0.2">
      <c r="C59" s="158"/>
      <c r="D59" s="158"/>
      <c r="G59" s="168"/>
      <c r="H59" s="169"/>
      <c r="I59" s="169"/>
      <c r="J59" s="168"/>
      <c r="K59" s="168"/>
      <c r="L59" s="168"/>
      <c r="M59" s="168"/>
      <c r="N59" s="168"/>
      <c r="O59" s="169"/>
      <c r="P59" s="168"/>
      <c r="Q59" s="169"/>
      <c r="R59" s="168"/>
      <c r="S59" s="169"/>
      <c r="T59" s="168"/>
      <c r="W59" s="246"/>
    </row>
    <row r="60" spans="1:23" s="157" customFormat="1" ht="15.75" customHeight="1" x14ac:dyDescent="0.2">
      <c r="C60" s="158"/>
      <c r="D60" s="158"/>
      <c r="G60" s="168"/>
      <c r="H60" s="169"/>
      <c r="I60" s="169"/>
      <c r="J60" s="168"/>
      <c r="K60" s="168"/>
      <c r="L60" s="168"/>
      <c r="M60" s="168"/>
      <c r="N60" s="168"/>
      <c r="O60" s="169"/>
      <c r="P60" s="168"/>
      <c r="Q60" s="169"/>
      <c r="R60" s="168"/>
      <c r="S60" s="169"/>
      <c r="T60" s="168"/>
      <c r="W60" s="246"/>
    </row>
    <row r="61" spans="1:23" s="19" customFormat="1" ht="18.75" customHeight="1" x14ac:dyDescent="0.25">
      <c r="A61" s="21"/>
      <c r="B61" s="636" t="s">
        <v>82</v>
      </c>
      <c r="C61" s="636"/>
      <c r="D61" s="636"/>
      <c r="E61" s="636"/>
      <c r="F61" s="21"/>
      <c r="G61" s="347">
        <f>+G15+G20+G27</f>
        <v>4913500881</v>
      </c>
      <c r="H61" s="161"/>
      <c r="I61" s="347">
        <f>+I15+I20+I27</f>
        <v>882919719.79999995</v>
      </c>
      <c r="J61" s="347">
        <f>+J15+J20+J27</f>
        <v>1790277</v>
      </c>
      <c r="K61" s="164"/>
      <c r="L61" s="347">
        <f>+L15+L20+L27</f>
        <v>5794630323.8000002</v>
      </c>
      <c r="M61" s="164"/>
      <c r="N61" s="347">
        <f>+N15+N20+N27</f>
        <v>1594964957.6666667</v>
      </c>
      <c r="O61" s="164"/>
      <c r="P61" s="347">
        <f>+P15+P20+P27</f>
        <v>3014545172</v>
      </c>
      <c r="Q61" s="164"/>
      <c r="R61" s="347">
        <f>+R15+R20+R27</f>
        <v>5794630324</v>
      </c>
      <c r="S61" s="164"/>
      <c r="T61" s="347">
        <f>+T15+T20+T27</f>
        <v>-0.19999980926513672</v>
      </c>
      <c r="W61" s="231"/>
    </row>
    <row r="62" spans="1:23" ht="15.75" customHeight="1" x14ac:dyDescent="0.2">
      <c r="G62" s="165"/>
      <c r="H62" s="166"/>
      <c r="I62" s="166"/>
      <c r="J62" s="165"/>
      <c r="K62" s="165"/>
      <c r="L62" s="165" t="e">
        <f>+#REF!</f>
        <v>#REF!</v>
      </c>
      <c r="M62" s="165"/>
      <c r="N62" s="165"/>
      <c r="O62" s="166"/>
      <c r="P62" s="165"/>
      <c r="Q62" s="166"/>
      <c r="R62" s="165"/>
      <c r="S62" s="166"/>
      <c r="T62" s="165"/>
    </row>
    <row r="63" spans="1:23" ht="15.75" hidden="1" customHeight="1" x14ac:dyDescent="0.2">
      <c r="L63" s="165">
        <v>3408043650</v>
      </c>
      <c r="M63" s="165"/>
      <c r="N63" s="165"/>
      <c r="P63" s="177">
        <f>+'BZA DE COMP'!F69</f>
        <v>3014545172</v>
      </c>
      <c r="Q63" s="166"/>
      <c r="R63" s="177" t="e">
        <f>+#REF!</f>
        <v>#REF!</v>
      </c>
      <c r="T63" s="177" t="e">
        <f>+T61+R63</f>
        <v>#REF!</v>
      </c>
    </row>
    <row r="64" spans="1:23" ht="15.75" hidden="1" customHeight="1" x14ac:dyDescent="0.2">
      <c r="L64" s="165"/>
      <c r="M64" s="165"/>
      <c r="N64" s="165"/>
      <c r="T64" s="165" t="e">
        <f>+T63-G61</f>
        <v>#REF!</v>
      </c>
    </row>
    <row r="65" spans="12:20" ht="15.75" hidden="1" customHeight="1" x14ac:dyDescent="0.2">
      <c r="L65" s="165">
        <f>+L63-L24</f>
        <v>-1728303378</v>
      </c>
      <c r="M65" s="165"/>
      <c r="N65" s="165"/>
      <c r="T65" s="165">
        <f>+I61</f>
        <v>882919719.79999995</v>
      </c>
    </row>
    <row r="66" spans="12:20" ht="15.75" hidden="1" customHeight="1" x14ac:dyDescent="0.2">
      <c r="L66" s="165"/>
      <c r="M66" s="165"/>
      <c r="N66" s="165"/>
      <c r="T66" s="165">
        <f>+J61</f>
        <v>1790277</v>
      </c>
    </row>
    <row r="67" spans="12:20" ht="15.75" hidden="1" customHeight="1" x14ac:dyDescent="0.2">
      <c r="L67" s="165"/>
      <c r="M67" s="165"/>
      <c r="N67" s="165"/>
      <c r="T67" s="165" t="e">
        <f>+T64-T65+T66</f>
        <v>#REF!</v>
      </c>
    </row>
    <row r="68" spans="12:20" ht="15.75" hidden="1" customHeight="1" x14ac:dyDescent="0.2">
      <c r="L68" s="165"/>
      <c r="M68" s="165"/>
      <c r="N68" s="165"/>
    </row>
    <row r="69" spans="12:20" ht="15.75" hidden="1" customHeight="1" x14ac:dyDescent="0.2"/>
    <row r="70" spans="12:20" ht="15.75" customHeight="1" x14ac:dyDescent="0.2">
      <c r="L70" s="165" t="e">
        <f>+L62-L61</f>
        <v>#REF!</v>
      </c>
    </row>
    <row r="71" spans="12:20" ht="15.75" customHeight="1" x14ac:dyDescent="0.2">
      <c r="L71" s="517">
        <v>96871276</v>
      </c>
      <c r="R71" s="165"/>
    </row>
    <row r="72" spans="12:20" ht="15.75" customHeight="1" x14ac:dyDescent="0.2">
      <c r="L72" s="165" t="e">
        <f>+L70+L71</f>
        <v>#REF!</v>
      </c>
    </row>
  </sheetData>
  <mergeCells count="15">
    <mergeCell ref="T10:T11"/>
    <mergeCell ref="R10:R11"/>
    <mergeCell ref="A2:U2"/>
    <mergeCell ref="A3:U3"/>
    <mergeCell ref="A6:U6"/>
    <mergeCell ref="A7:U7"/>
    <mergeCell ref="A4:K4"/>
    <mergeCell ref="B61:E61"/>
    <mergeCell ref="D10:E12"/>
    <mergeCell ref="G10:G11"/>
    <mergeCell ref="I10:J10"/>
    <mergeCell ref="P10:P11"/>
    <mergeCell ref="N10:N11"/>
    <mergeCell ref="L10:L11"/>
    <mergeCell ref="B10:B12"/>
  </mergeCells>
  <phoneticPr fontId="10" type="noConversion"/>
  <printOptions horizontalCentered="1" verticalCentered="1"/>
  <pageMargins left="0.59055118110236227" right="0.59055118110236227" top="0.59055118110236227" bottom="0.59055118110236227" header="0" footer="0"/>
  <pageSetup scale="5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62"/>
  <sheetViews>
    <sheetView view="pageBreakPreview" topLeftCell="A38" zoomScale="70" zoomScaleNormal="60" zoomScaleSheetLayoutView="70" workbookViewId="0">
      <selection activeCell="Z59" sqref="Z59"/>
    </sheetView>
  </sheetViews>
  <sheetFormatPr baseColWidth="10" defaultRowHeight="15.75" customHeight="1" x14ac:dyDescent="0.2"/>
  <cols>
    <col min="1" max="1" width="2.85546875" style="312" customWidth="1"/>
    <col min="2" max="3" width="9.28515625" style="394" customWidth="1"/>
    <col min="4" max="4" width="3.28515625" style="310" customWidth="1"/>
    <col min="5" max="5" width="9.28515625" style="394" customWidth="1"/>
    <col min="6" max="6" width="2.85546875" style="310" customWidth="1"/>
    <col min="7" max="7" width="4.42578125" style="310" customWidth="1"/>
    <col min="8" max="8" width="49.85546875" style="312" customWidth="1"/>
    <col min="9" max="9" width="2.85546875" style="312" customWidth="1"/>
    <col min="10" max="10" width="20.28515625" style="312" customWidth="1"/>
    <col min="11" max="11" width="2.140625" style="310" customWidth="1"/>
    <col min="12" max="22" width="18.5703125" style="310" hidden="1" customWidth="1"/>
    <col min="23" max="24" width="18.5703125" style="393" hidden="1" customWidth="1"/>
    <col min="25" max="25" width="20.28515625" style="310" customWidth="1"/>
    <col min="26" max="26" width="20.28515625" style="312" customWidth="1"/>
    <col min="27" max="27" width="2.85546875" style="312" customWidth="1"/>
    <col min="28" max="28" width="20.28515625" style="312" customWidth="1"/>
    <col min="29" max="29" width="2.85546875" style="312" customWidth="1"/>
    <col min="30" max="30" width="17.85546875" style="312" hidden="1" customWidth="1"/>
    <col min="31" max="31" width="2.85546875" style="310" hidden="1" customWidth="1"/>
    <col min="32" max="32" width="20.28515625" style="312" customWidth="1"/>
    <col min="33" max="33" width="2.85546875" style="310" customWidth="1"/>
    <col min="34" max="34" width="25.5703125" style="310" bestFit="1" customWidth="1"/>
    <col min="35" max="35" width="2.85546875" style="310" customWidth="1"/>
    <col min="36" max="36" width="23.42578125" style="547" bestFit="1" customWidth="1"/>
    <col min="37" max="37" width="2.85546875" style="312" customWidth="1"/>
    <col min="38" max="38" width="17.42578125" style="468" hidden="1" customWidth="1"/>
    <col min="39" max="39" width="19.28515625" style="461" hidden="1" customWidth="1"/>
    <col min="40" max="40" width="19.7109375" style="381" hidden="1" customWidth="1"/>
    <col min="41" max="41" width="19.7109375" style="392" hidden="1" customWidth="1"/>
    <col min="42" max="42" width="11.42578125" style="312" hidden="1" customWidth="1"/>
    <col min="43" max="43" width="17.85546875" style="312" hidden="1" customWidth="1"/>
    <col min="44" max="44" width="17.5703125" style="312" hidden="1" customWidth="1"/>
    <col min="45" max="45" width="20.140625" style="312" customWidth="1"/>
    <col min="46" max="46" width="10.28515625" style="312" bestFit="1" customWidth="1"/>
    <col min="47" max="47" width="14" style="312" bestFit="1" customWidth="1"/>
    <col min="48" max="16384" width="11.42578125" style="312"/>
  </cols>
  <sheetData>
    <row r="1" spans="1:45" s="310" customFormat="1" ht="9" customHeight="1" x14ac:dyDescent="0.2">
      <c r="B1" s="444"/>
      <c r="C1" s="444"/>
      <c r="E1" s="444"/>
      <c r="W1" s="393"/>
      <c r="X1" s="393"/>
      <c r="AJ1" s="538"/>
      <c r="AL1" s="457"/>
      <c r="AM1" s="458"/>
      <c r="AN1" s="446"/>
      <c r="AO1" s="441"/>
    </row>
    <row r="2" spans="1:45" s="310" customFormat="1" ht="29.25" customHeight="1" x14ac:dyDescent="0.2">
      <c r="A2" s="659" t="s">
        <v>7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9"/>
      <c r="W2" s="659"/>
      <c r="X2" s="659"/>
      <c r="Y2" s="659"/>
      <c r="Z2" s="659"/>
      <c r="AA2" s="659"/>
      <c r="AB2" s="659"/>
      <c r="AC2" s="659"/>
      <c r="AD2" s="659"/>
      <c r="AE2" s="659"/>
      <c r="AF2" s="659"/>
      <c r="AG2" s="659"/>
      <c r="AH2" s="659"/>
      <c r="AI2" s="659"/>
      <c r="AJ2" s="659"/>
      <c r="AK2" s="659"/>
      <c r="AL2" s="457"/>
      <c r="AM2" s="458"/>
      <c r="AN2" s="446"/>
      <c r="AO2" s="441"/>
    </row>
    <row r="3" spans="1:45" s="310" customFormat="1" ht="29.25" customHeight="1" x14ac:dyDescent="0.2">
      <c r="A3" s="659" t="s">
        <v>106</v>
      </c>
      <c r="B3" s="659"/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457"/>
      <c r="AM3" s="458"/>
      <c r="AN3" s="446"/>
      <c r="AO3" s="441"/>
    </row>
    <row r="4" spans="1:45" s="310" customFormat="1" ht="9" customHeight="1" x14ac:dyDescent="0.2">
      <c r="A4" s="660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567"/>
      <c r="AC4" s="567"/>
      <c r="AD4" s="567"/>
      <c r="AE4" s="567"/>
      <c r="AF4" s="567"/>
      <c r="AG4" s="567"/>
      <c r="AH4" s="567"/>
      <c r="AI4" s="567"/>
      <c r="AJ4" s="539"/>
      <c r="AL4" s="457"/>
      <c r="AM4" s="458"/>
      <c r="AN4" s="446"/>
      <c r="AO4" s="441"/>
    </row>
    <row r="5" spans="1:45" s="310" customFormat="1" ht="15.75" customHeight="1" x14ac:dyDescent="0.2">
      <c r="B5" s="444"/>
      <c r="C5" s="444"/>
      <c r="E5" s="444"/>
      <c r="W5" s="393"/>
      <c r="X5" s="393"/>
      <c r="AJ5" s="538"/>
      <c r="AL5" s="457"/>
      <c r="AM5" s="458"/>
      <c r="AN5" s="446"/>
      <c r="AO5" s="441"/>
    </row>
    <row r="6" spans="1:45" s="310" customFormat="1" ht="15.75" customHeight="1" x14ac:dyDescent="0.25">
      <c r="A6" s="618" t="s">
        <v>65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457"/>
      <c r="AM6" s="458"/>
      <c r="AN6" s="446"/>
      <c r="AO6" s="441"/>
    </row>
    <row r="7" spans="1:45" s="310" customFormat="1" ht="15.75" customHeight="1" x14ac:dyDescent="0.25">
      <c r="A7" s="618" t="s">
        <v>980</v>
      </c>
      <c r="B7" s="618"/>
      <c r="C7" s="618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  <c r="V7" s="618"/>
      <c r="W7" s="618"/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8"/>
      <c r="AK7" s="618"/>
      <c r="AL7" s="457"/>
      <c r="AM7" s="458"/>
      <c r="AN7" s="446"/>
      <c r="AO7" s="441"/>
    </row>
    <row r="8" spans="1:45" s="310" customFormat="1" ht="15.75" customHeight="1" x14ac:dyDescent="0.25">
      <c r="A8" s="399"/>
      <c r="B8" s="564"/>
      <c r="C8" s="564"/>
      <c r="D8" s="399"/>
      <c r="E8" s="564"/>
      <c r="F8" s="399"/>
      <c r="G8" s="399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42"/>
      <c r="X8" s="442"/>
      <c r="Y8" s="431"/>
      <c r="Z8" s="443"/>
      <c r="AA8" s="443"/>
      <c r="AB8" s="431"/>
      <c r="AC8" s="431"/>
      <c r="AD8" s="431"/>
      <c r="AE8" s="431"/>
      <c r="AF8" s="431"/>
      <c r="AG8" s="431"/>
      <c r="AH8" s="431"/>
      <c r="AI8" s="431"/>
      <c r="AJ8" s="540"/>
      <c r="AL8" s="457"/>
      <c r="AM8" s="458"/>
      <c r="AN8" s="446"/>
      <c r="AO8" s="441"/>
    </row>
    <row r="9" spans="1:45" s="310" customFormat="1" ht="15.75" customHeight="1" x14ac:dyDescent="0.25">
      <c r="A9" s="399"/>
      <c r="B9" s="564"/>
      <c r="C9" s="564"/>
      <c r="D9" s="399"/>
      <c r="E9" s="564"/>
      <c r="F9" s="399"/>
      <c r="G9" s="399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1"/>
      <c r="W9" s="442"/>
      <c r="X9" s="442"/>
      <c r="Y9" s="431"/>
      <c r="Z9" s="431"/>
      <c r="AA9" s="431"/>
      <c r="AB9" s="431"/>
      <c r="AC9" s="431"/>
      <c r="AD9" s="431"/>
      <c r="AE9" s="431"/>
      <c r="AF9" s="431"/>
      <c r="AG9" s="431"/>
      <c r="AH9" s="431"/>
      <c r="AI9" s="431"/>
      <c r="AJ9" s="540"/>
      <c r="AL9" s="457"/>
      <c r="AM9" s="459"/>
      <c r="AN9" s="446"/>
      <c r="AO9" s="441"/>
    </row>
    <row r="10" spans="1:45" s="331" customFormat="1" ht="12.75" customHeight="1" x14ac:dyDescent="0.2">
      <c r="A10" s="437"/>
      <c r="B10" s="661" t="s">
        <v>66</v>
      </c>
      <c r="C10" s="565"/>
      <c r="D10" s="438"/>
      <c r="E10" s="662" t="s">
        <v>45</v>
      </c>
      <c r="F10" s="438"/>
      <c r="G10" s="661" t="s">
        <v>46</v>
      </c>
      <c r="H10" s="661"/>
      <c r="I10" s="440"/>
      <c r="J10" s="662" t="s">
        <v>67</v>
      </c>
      <c r="K10" s="439"/>
      <c r="L10" s="663" t="s">
        <v>650</v>
      </c>
      <c r="M10" s="663" t="s">
        <v>654</v>
      </c>
      <c r="N10" s="663" t="s">
        <v>656</v>
      </c>
      <c r="O10" s="663" t="s">
        <v>656</v>
      </c>
      <c r="P10" s="663" t="s">
        <v>658</v>
      </c>
      <c r="Q10" s="663" t="s">
        <v>630</v>
      </c>
      <c r="R10" s="663" t="s">
        <v>656</v>
      </c>
      <c r="S10" s="666" t="s">
        <v>36</v>
      </c>
      <c r="T10" s="663" t="s">
        <v>631</v>
      </c>
      <c r="U10" s="663" t="s">
        <v>632</v>
      </c>
      <c r="V10" s="663" t="s">
        <v>633</v>
      </c>
      <c r="W10" s="665" t="s">
        <v>652</v>
      </c>
      <c r="X10" s="665"/>
      <c r="Y10" s="662" t="s">
        <v>50</v>
      </c>
      <c r="Z10" s="662"/>
      <c r="AB10" s="662" t="s">
        <v>55</v>
      </c>
      <c r="AC10" s="430"/>
      <c r="AD10" s="662" t="s">
        <v>642</v>
      </c>
      <c r="AE10" s="430"/>
      <c r="AF10" s="662" t="s">
        <v>643</v>
      </c>
      <c r="AG10" s="430"/>
      <c r="AH10" s="566" t="s">
        <v>68</v>
      </c>
      <c r="AI10" s="430"/>
      <c r="AJ10" s="664" t="s">
        <v>69</v>
      </c>
      <c r="AL10" s="460"/>
      <c r="AM10" s="461"/>
      <c r="AN10" s="382"/>
      <c r="AO10" s="434"/>
    </row>
    <row r="11" spans="1:45" s="331" customFormat="1" ht="12.75" x14ac:dyDescent="0.2">
      <c r="A11" s="437"/>
      <c r="B11" s="661"/>
      <c r="C11" s="565"/>
      <c r="D11" s="438"/>
      <c r="E11" s="662"/>
      <c r="F11" s="438"/>
      <c r="G11" s="661"/>
      <c r="H11" s="661"/>
      <c r="I11" s="437"/>
      <c r="J11" s="662"/>
      <c r="K11" s="436"/>
      <c r="L11" s="663"/>
      <c r="M11" s="663"/>
      <c r="N11" s="663"/>
      <c r="O11" s="663"/>
      <c r="P11" s="663"/>
      <c r="Q11" s="663"/>
      <c r="R11" s="663"/>
      <c r="S11" s="666"/>
      <c r="T11" s="663"/>
      <c r="U11" s="663"/>
      <c r="V11" s="663"/>
      <c r="W11" s="665" t="s">
        <v>653</v>
      </c>
      <c r="X11" s="665"/>
      <c r="Y11" s="435" t="s">
        <v>51</v>
      </c>
      <c r="Z11" s="565" t="s">
        <v>52</v>
      </c>
      <c r="AB11" s="662"/>
      <c r="AC11" s="430"/>
      <c r="AD11" s="662"/>
      <c r="AE11" s="430"/>
      <c r="AF11" s="662"/>
      <c r="AG11" s="430"/>
      <c r="AH11" s="566"/>
      <c r="AI11" s="430"/>
      <c r="AJ11" s="664"/>
      <c r="AL11" s="460"/>
      <c r="AM11" s="461"/>
      <c r="AN11" s="382"/>
      <c r="AO11" s="434"/>
    </row>
    <row r="12" spans="1:45" s="323" customFormat="1" x14ac:dyDescent="0.25">
      <c r="A12" s="431"/>
      <c r="B12" s="661"/>
      <c r="C12" s="565"/>
      <c r="D12" s="431"/>
      <c r="E12" s="662"/>
      <c r="F12" s="431"/>
      <c r="G12" s="661"/>
      <c r="H12" s="661"/>
      <c r="I12" s="321"/>
      <c r="J12" s="566" t="s">
        <v>49</v>
      </c>
      <c r="K12" s="431"/>
      <c r="L12" s="433" t="s">
        <v>651</v>
      </c>
      <c r="M12" s="433" t="s">
        <v>655</v>
      </c>
      <c r="N12" s="433" t="s">
        <v>634</v>
      </c>
      <c r="O12" s="433" t="s">
        <v>657</v>
      </c>
      <c r="P12" s="433" t="s">
        <v>635</v>
      </c>
      <c r="Q12" s="433" t="s">
        <v>635</v>
      </c>
      <c r="R12" s="433" t="s">
        <v>659</v>
      </c>
      <c r="S12" s="433"/>
      <c r="T12" s="433"/>
      <c r="U12" s="433" t="s">
        <v>636</v>
      </c>
      <c r="V12" s="433" t="s">
        <v>637</v>
      </c>
      <c r="W12" s="432" t="s">
        <v>51</v>
      </c>
      <c r="X12" s="432" t="s">
        <v>52</v>
      </c>
      <c r="Y12" s="566" t="s">
        <v>53</v>
      </c>
      <c r="Z12" s="566" t="s">
        <v>54</v>
      </c>
      <c r="AA12" s="431"/>
      <c r="AB12" s="566" t="s">
        <v>75</v>
      </c>
      <c r="AC12" s="430"/>
      <c r="AD12" s="566" t="s">
        <v>56</v>
      </c>
      <c r="AE12" s="430"/>
      <c r="AF12" s="566" t="s">
        <v>57</v>
      </c>
      <c r="AG12" s="430"/>
      <c r="AH12" s="566" t="s">
        <v>58</v>
      </c>
      <c r="AI12" s="430"/>
      <c r="AJ12" s="569" t="s">
        <v>60</v>
      </c>
      <c r="AL12" s="462"/>
      <c r="AM12" s="463"/>
      <c r="AN12" s="489"/>
      <c r="AO12" s="429"/>
    </row>
    <row r="13" spans="1:45" s="334" customFormat="1" ht="15.75" customHeight="1" x14ac:dyDescent="0.2">
      <c r="B13" s="428"/>
      <c r="C13" s="428"/>
      <c r="E13" s="428"/>
      <c r="W13" s="400"/>
      <c r="X13" s="400"/>
      <c r="Y13" s="582"/>
      <c r="AJ13" s="541"/>
      <c r="AL13" s="464"/>
      <c r="AM13" s="458"/>
      <c r="AN13" s="383"/>
      <c r="AO13" s="427"/>
    </row>
    <row r="14" spans="1:45" s="411" customFormat="1" ht="15.75" customHeight="1" x14ac:dyDescent="0.2">
      <c r="B14" s="426" t="s">
        <v>71</v>
      </c>
      <c r="C14" s="426"/>
      <c r="E14" s="425"/>
      <c r="J14" s="415">
        <f>SUM(J15:J45)</f>
        <v>4840307729.7600002</v>
      </c>
      <c r="K14" s="415"/>
      <c r="L14" s="415">
        <f t="shared" ref="L14:Z14" si="0">SUM(L15:L45)</f>
        <v>0</v>
      </c>
      <c r="M14" s="415">
        <f t="shared" si="0"/>
        <v>0</v>
      </c>
      <c r="N14" s="415">
        <f t="shared" si="0"/>
        <v>0</v>
      </c>
      <c r="O14" s="415">
        <f t="shared" si="0"/>
        <v>0</v>
      </c>
      <c r="P14" s="415">
        <f t="shared" si="0"/>
        <v>0</v>
      </c>
      <c r="Q14" s="415">
        <f t="shared" si="0"/>
        <v>0</v>
      </c>
      <c r="R14" s="415">
        <f t="shared" si="0"/>
        <v>5054329861.1999998</v>
      </c>
      <c r="S14" s="415">
        <f t="shared" si="0"/>
        <v>0</v>
      </c>
      <c r="T14" s="415">
        <f t="shared" si="0"/>
        <v>0</v>
      </c>
      <c r="U14" s="415">
        <f t="shared" si="0"/>
        <v>25341072932.159988</v>
      </c>
      <c r="V14" s="415">
        <f t="shared" si="0"/>
        <v>0</v>
      </c>
      <c r="W14" s="421">
        <f t="shared" si="0"/>
        <v>0</v>
      </c>
      <c r="X14" s="421">
        <f t="shared" si="0"/>
        <v>0</v>
      </c>
      <c r="Y14" s="415">
        <f t="shared" si="0"/>
        <v>1756780060.54</v>
      </c>
      <c r="Z14" s="415">
        <f t="shared" si="0"/>
        <v>1420780862.3600004</v>
      </c>
      <c r="AA14" s="415"/>
      <c r="AB14" s="415">
        <f>SUM(AB15:AB45)</f>
        <v>5176306927.9399996</v>
      </c>
      <c r="AC14" s="415"/>
      <c r="AD14" s="415">
        <f>SUM(AD15:AD45)</f>
        <v>0</v>
      </c>
      <c r="AE14" s="415"/>
      <c r="AF14" s="415">
        <f>SUM(AF15:AF45)</f>
        <v>2880820803.7599998</v>
      </c>
      <c r="AG14" s="415"/>
      <c r="AH14" s="415">
        <f>SUM(AH15:AH45)</f>
        <v>5043915356.4200001</v>
      </c>
      <c r="AI14" s="415"/>
      <c r="AJ14" s="542">
        <f>SUM(AJ15:AJ45)</f>
        <v>132378029.53</v>
      </c>
      <c r="AK14" s="415"/>
      <c r="AL14" s="385" t="e">
        <f>+AJ14-AJ16-#REF!</f>
        <v>#REF!</v>
      </c>
      <c r="AM14" s="465"/>
      <c r="AN14" s="385"/>
      <c r="AO14" s="465"/>
      <c r="AQ14" s="415"/>
      <c r="AR14" s="415"/>
    </row>
    <row r="15" spans="1:45" s="411" customFormat="1" ht="15.75" customHeight="1" x14ac:dyDescent="0.2">
      <c r="B15" s="426"/>
      <c r="C15" s="426"/>
      <c r="E15" s="425"/>
      <c r="J15" s="415"/>
      <c r="K15" s="415"/>
      <c r="L15" s="415"/>
      <c r="M15" s="415"/>
      <c r="N15" s="415"/>
      <c r="O15" s="415"/>
      <c r="P15" s="415"/>
      <c r="Q15" s="415"/>
      <c r="R15" s="415"/>
      <c r="S15" s="415"/>
      <c r="T15" s="415"/>
      <c r="U15" s="415"/>
      <c r="V15" s="415"/>
      <c r="W15" s="421"/>
      <c r="X15" s="421"/>
      <c r="Y15" s="415"/>
      <c r="Z15" s="415"/>
      <c r="AA15" s="415"/>
      <c r="AB15" s="415"/>
      <c r="AC15" s="415"/>
      <c r="AD15" s="415"/>
      <c r="AE15" s="415"/>
      <c r="AF15" s="415"/>
      <c r="AG15" s="415"/>
      <c r="AH15" s="415"/>
      <c r="AI15" s="415"/>
      <c r="AJ15" s="542"/>
      <c r="AK15" s="415"/>
      <c r="AL15" s="414"/>
      <c r="AM15" s="465"/>
      <c r="AN15" s="385"/>
      <c r="AO15" s="465"/>
      <c r="AQ15" s="415"/>
      <c r="AR15" s="405"/>
    </row>
    <row r="16" spans="1:45" s="411" customFormat="1" ht="15.75" customHeight="1" x14ac:dyDescent="0.2">
      <c r="B16" s="426"/>
      <c r="C16" s="426"/>
      <c r="E16" s="580" t="s">
        <v>691</v>
      </c>
      <c r="G16" s="579" t="s">
        <v>692</v>
      </c>
      <c r="J16" s="518">
        <v>2071101866</v>
      </c>
      <c r="K16" s="405"/>
      <c r="L16" s="405">
        <v>0</v>
      </c>
      <c r="M16" s="405"/>
      <c r="N16" s="405">
        <v>0</v>
      </c>
      <c r="P16" s="405">
        <v>0</v>
      </c>
      <c r="Q16" s="405"/>
      <c r="R16" s="405">
        <v>280796103.39999998</v>
      </c>
      <c r="S16" s="405">
        <v>0</v>
      </c>
      <c r="T16" s="405"/>
      <c r="U16" s="405">
        <v>1407837385.1199999</v>
      </c>
      <c r="V16" s="405"/>
      <c r="W16" s="421">
        <v>0</v>
      </c>
      <c r="X16" s="407">
        <v>0</v>
      </c>
      <c r="Y16" s="405">
        <f t="shared" ref="Y16:Y33" si="1">+IF((J16-AB16)&lt;0,AB16-J16,0)</f>
        <v>1672063130.6999998</v>
      </c>
      <c r="Z16" s="405">
        <f t="shared" ref="Z16:Z45" si="2">+IF((J16-AB16)&lt;0,0,J16-AB16)</f>
        <v>0</v>
      </c>
      <c r="AA16" s="405"/>
      <c r="AB16" s="405">
        <f>3743164997.7-1</f>
        <v>3743164996.6999998</v>
      </c>
      <c r="AC16" s="405"/>
      <c r="AD16" s="405">
        <v>0</v>
      </c>
      <c r="AE16" s="405"/>
      <c r="AF16" s="451">
        <v>2256536838.1399999</v>
      </c>
      <c r="AG16" s="405"/>
      <c r="AH16" s="451">
        <v>3709613353.6999998</v>
      </c>
      <c r="AI16" s="405"/>
      <c r="AJ16" s="543">
        <f t="shared" ref="AJ16:AJ33" si="3">+AB16-AH16</f>
        <v>33551643</v>
      </c>
      <c r="AK16" s="415"/>
      <c r="AL16" s="417">
        <f t="shared" ref="AL16:AL26" si="4">+AH16/$AH$14</f>
        <v>0.73546304637692361</v>
      </c>
      <c r="AM16" s="466">
        <v>0.50002161645720633</v>
      </c>
      <c r="AN16" s="384">
        <f>+AJ16*-1</f>
        <v>-33551643</v>
      </c>
      <c r="AO16" s="466"/>
      <c r="AP16" s="417"/>
      <c r="AQ16" s="384">
        <f t="shared" ref="AQ16:AQ31" si="5">++AF16+AH16</f>
        <v>5966150191.8400002</v>
      </c>
      <c r="AR16" s="405"/>
      <c r="AS16" s="411">
        <v>1453076515.5599999</v>
      </c>
    </row>
    <row r="17" spans="2:45" s="404" customFormat="1" ht="15.75" customHeight="1" x14ac:dyDescent="0.2">
      <c r="B17" s="410"/>
      <c r="C17" s="426"/>
      <c r="E17" s="580" t="s">
        <v>693</v>
      </c>
      <c r="G17" s="579" t="s">
        <v>694</v>
      </c>
      <c r="H17" s="578"/>
      <c r="J17" s="518">
        <v>3813534</v>
      </c>
      <c r="K17" s="405"/>
      <c r="L17" s="405">
        <v>0</v>
      </c>
      <c r="M17" s="405"/>
      <c r="N17" s="405">
        <v>0</v>
      </c>
      <c r="O17" s="411"/>
      <c r="P17" s="405">
        <v>0</v>
      </c>
      <c r="Q17" s="405"/>
      <c r="R17" s="405">
        <v>280796103.39999998</v>
      </c>
      <c r="S17" s="405">
        <v>0</v>
      </c>
      <c r="T17" s="405"/>
      <c r="U17" s="405">
        <v>1407837385.1199999</v>
      </c>
      <c r="V17" s="405"/>
      <c r="W17" s="421">
        <v>0</v>
      </c>
      <c r="X17" s="407">
        <v>0</v>
      </c>
      <c r="Y17" s="405">
        <f t="shared" si="1"/>
        <v>1820038.7400000002</v>
      </c>
      <c r="Z17" s="405">
        <f t="shared" si="2"/>
        <v>0</v>
      </c>
      <c r="AA17" s="405"/>
      <c r="AB17" s="405">
        <v>5633572.7400000002</v>
      </c>
      <c r="AC17" s="405"/>
      <c r="AD17" s="405">
        <v>0</v>
      </c>
      <c r="AE17" s="405"/>
      <c r="AF17" s="451">
        <v>1718653.35</v>
      </c>
      <c r="AG17" s="405"/>
      <c r="AH17" s="451">
        <v>5533341.7400000002</v>
      </c>
      <c r="AI17" s="405"/>
      <c r="AJ17" s="543">
        <f t="shared" si="3"/>
        <v>100231</v>
      </c>
      <c r="AK17" s="405"/>
      <c r="AL17" s="417">
        <f t="shared" si="4"/>
        <v>1.0970330287079556E-3</v>
      </c>
      <c r="AM17" s="466">
        <v>2.2421079438026781E-3</v>
      </c>
      <c r="AN17" s="384">
        <f>+AJ17*-1</f>
        <v>-100231</v>
      </c>
      <c r="AO17" s="466"/>
      <c r="AP17" s="417"/>
      <c r="AQ17" s="384">
        <f t="shared" si="5"/>
        <v>7251995.0899999999</v>
      </c>
      <c r="AR17" s="405"/>
      <c r="AS17" s="404">
        <v>3814688.3900000006</v>
      </c>
    </row>
    <row r="18" spans="2:45" s="404" customFormat="1" ht="15.75" customHeight="1" x14ac:dyDescent="0.2">
      <c r="B18" s="410"/>
      <c r="C18" s="426"/>
      <c r="E18" s="580" t="s">
        <v>695</v>
      </c>
      <c r="G18" s="579" t="s">
        <v>696</v>
      </c>
      <c r="H18" s="578"/>
      <c r="J18" s="518">
        <v>56517762.700000003</v>
      </c>
      <c r="K18" s="405"/>
      <c r="L18" s="405">
        <v>0</v>
      </c>
      <c r="M18" s="405"/>
      <c r="N18" s="405">
        <v>0</v>
      </c>
      <c r="O18" s="411"/>
      <c r="P18" s="405">
        <v>0</v>
      </c>
      <c r="Q18" s="405"/>
      <c r="R18" s="405">
        <v>280796103.39999998</v>
      </c>
      <c r="S18" s="405">
        <v>0</v>
      </c>
      <c r="T18" s="405"/>
      <c r="U18" s="405">
        <v>1407837385.1199999</v>
      </c>
      <c r="V18" s="405"/>
      <c r="W18" s="421">
        <v>0</v>
      </c>
      <c r="X18" s="407">
        <v>0</v>
      </c>
      <c r="Y18" s="405">
        <f t="shared" si="1"/>
        <v>0</v>
      </c>
      <c r="Z18" s="405">
        <f t="shared" si="2"/>
        <v>33315061.700000003</v>
      </c>
      <c r="AA18" s="405"/>
      <c r="AB18" s="405">
        <v>23202701</v>
      </c>
      <c r="AC18" s="405"/>
      <c r="AD18" s="405">
        <v>0</v>
      </c>
      <c r="AE18" s="405"/>
      <c r="AF18" s="451">
        <v>461800</v>
      </c>
      <c r="AG18" s="405"/>
      <c r="AH18" s="451">
        <v>22800390</v>
      </c>
      <c r="AI18" s="405"/>
      <c r="AJ18" s="543">
        <f t="shared" si="3"/>
        <v>402311</v>
      </c>
      <c r="AK18" s="405"/>
      <c r="AL18" s="417">
        <f t="shared" si="4"/>
        <v>4.5203752221930514E-3</v>
      </c>
      <c r="AM18" s="466">
        <v>1.6754877309202705E-3</v>
      </c>
      <c r="AN18" s="384">
        <f>+AJ18*-1</f>
        <v>-402311</v>
      </c>
      <c r="AO18" s="466"/>
      <c r="AP18" s="417"/>
      <c r="AQ18" s="384">
        <f t="shared" si="5"/>
        <v>23262190</v>
      </c>
      <c r="AR18" s="405"/>
      <c r="AS18" s="404">
        <v>22338590</v>
      </c>
    </row>
    <row r="19" spans="2:45" s="404" customFormat="1" ht="15.75" customHeight="1" x14ac:dyDescent="0.2">
      <c r="B19" s="410"/>
      <c r="C19" s="426"/>
      <c r="E19" s="580" t="s">
        <v>697</v>
      </c>
      <c r="G19" s="579" t="s">
        <v>698</v>
      </c>
      <c r="H19" s="578"/>
      <c r="J19" s="518">
        <v>169320308</v>
      </c>
      <c r="K19" s="405"/>
      <c r="L19" s="405">
        <v>0</v>
      </c>
      <c r="M19" s="405"/>
      <c r="N19" s="405">
        <v>0</v>
      </c>
      <c r="O19" s="411"/>
      <c r="P19" s="405">
        <v>0</v>
      </c>
      <c r="Q19" s="405"/>
      <c r="R19" s="405">
        <v>280796103.39999998</v>
      </c>
      <c r="S19" s="405">
        <v>0</v>
      </c>
      <c r="T19" s="405"/>
      <c r="U19" s="405">
        <v>1407837385.1199999</v>
      </c>
      <c r="V19" s="405"/>
      <c r="W19" s="421">
        <v>0</v>
      </c>
      <c r="X19" s="407">
        <v>0</v>
      </c>
      <c r="Y19" s="405">
        <f t="shared" si="1"/>
        <v>0</v>
      </c>
      <c r="Z19" s="405">
        <f t="shared" si="2"/>
        <v>17070843.49000001</v>
      </c>
      <c r="AA19" s="405"/>
      <c r="AB19" s="405">
        <v>152249464.50999999</v>
      </c>
      <c r="AC19" s="405"/>
      <c r="AD19" s="405">
        <v>0</v>
      </c>
      <c r="AE19" s="405"/>
      <c r="AF19" s="451">
        <v>127469382.59</v>
      </c>
      <c r="AG19" s="405"/>
      <c r="AH19" s="451">
        <v>145753270.50999999</v>
      </c>
      <c r="AI19" s="405"/>
      <c r="AJ19" s="543">
        <f t="shared" si="3"/>
        <v>6496194</v>
      </c>
      <c r="AK19" s="405"/>
      <c r="AL19" s="417">
        <f t="shared" si="4"/>
        <v>2.8896850999785752E-2</v>
      </c>
      <c r="AM19" s="466">
        <v>6.4862236687976828E-4</v>
      </c>
      <c r="AN19" s="384">
        <f>+AJ19*-1</f>
        <v>-6496194</v>
      </c>
      <c r="AO19" s="466"/>
      <c r="AP19" s="417"/>
      <c r="AQ19" s="384">
        <f t="shared" si="5"/>
        <v>273222653.10000002</v>
      </c>
      <c r="AR19" s="405"/>
      <c r="AS19" s="404">
        <v>18283887.920000002</v>
      </c>
    </row>
    <row r="20" spans="2:45" s="404" customFormat="1" ht="15.75" customHeight="1" x14ac:dyDescent="0.2">
      <c r="B20" s="410"/>
      <c r="C20" s="426"/>
      <c r="E20" s="580" t="s">
        <v>699</v>
      </c>
      <c r="G20" s="579" t="s">
        <v>838</v>
      </c>
      <c r="H20" s="578"/>
      <c r="J20" s="518">
        <v>27817482</v>
      </c>
      <c r="K20" s="405"/>
      <c r="L20" s="405">
        <v>0</v>
      </c>
      <c r="M20" s="405"/>
      <c r="N20" s="405">
        <v>0</v>
      </c>
      <c r="O20" s="411"/>
      <c r="P20" s="405">
        <v>0</v>
      </c>
      <c r="Q20" s="405"/>
      <c r="R20" s="405">
        <v>280796103.39999998</v>
      </c>
      <c r="S20" s="405">
        <v>0</v>
      </c>
      <c r="T20" s="405"/>
      <c r="U20" s="405">
        <v>1407837385.1199999</v>
      </c>
      <c r="V20" s="405"/>
      <c r="W20" s="421">
        <v>0</v>
      </c>
      <c r="X20" s="407">
        <v>0</v>
      </c>
      <c r="Y20" s="405">
        <f t="shared" si="1"/>
        <v>0</v>
      </c>
      <c r="Z20" s="405">
        <f t="shared" si="2"/>
        <v>13968451.800000001</v>
      </c>
      <c r="AA20" s="405"/>
      <c r="AB20" s="405">
        <v>13849030.199999999</v>
      </c>
      <c r="AC20" s="405"/>
      <c r="AD20" s="405">
        <v>0</v>
      </c>
      <c r="AE20" s="405"/>
      <c r="AF20" s="451">
        <v>5217779.68</v>
      </c>
      <c r="AG20" s="405"/>
      <c r="AH20" s="451">
        <v>12628889.4</v>
      </c>
      <c r="AI20" s="405"/>
      <c r="AJ20" s="543">
        <f t="shared" si="3"/>
        <v>1220140.7999999989</v>
      </c>
      <c r="AK20" s="405"/>
      <c r="AL20" s="417">
        <f t="shared" si="4"/>
        <v>2.50378694081884E-3</v>
      </c>
      <c r="AM20" s="466">
        <v>9.8528562514809612E-3</v>
      </c>
      <c r="AN20" s="384">
        <f>+AJ20*-1</f>
        <v>-1220140.7999999989</v>
      </c>
      <c r="AO20" s="466"/>
      <c r="AP20" s="417"/>
      <c r="AQ20" s="384">
        <f t="shared" si="5"/>
        <v>17846669.079999998</v>
      </c>
      <c r="AR20" s="405"/>
      <c r="AS20" s="404">
        <v>7411109.7200000007</v>
      </c>
    </row>
    <row r="21" spans="2:45" s="404" customFormat="1" ht="15.75" customHeight="1" x14ac:dyDescent="0.2">
      <c r="B21" s="410"/>
      <c r="C21" s="426"/>
      <c r="E21" s="580" t="s">
        <v>700</v>
      </c>
      <c r="G21" s="579" t="s">
        <v>701</v>
      </c>
      <c r="H21" s="578"/>
      <c r="J21" s="518">
        <v>13439355</v>
      </c>
      <c r="K21" s="405"/>
      <c r="L21" s="405">
        <v>0</v>
      </c>
      <c r="M21" s="405"/>
      <c r="N21" s="405">
        <v>0</v>
      </c>
      <c r="O21" s="411"/>
      <c r="P21" s="405">
        <v>0</v>
      </c>
      <c r="Q21" s="405"/>
      <c r="R21" s="405">
        <v>280796103.39999998</v>
      </c>
      <c r="S21" s="405">
        <v>0</v>
      </c>
      <c r="T21" s="405"/>
      <c r="U21" s="405">
        <v>1407837385.1199999</v>
      </c>
      <c r="V21" s="405"/>
      <c r="W21" s="421">
        <v>0</v>
      </c>
      <c r="X21" s="407">
        <v>0</v>
      </c>
      <c r="Y21" s="405">
        <f t="shared" si="1"/>
        <v>0</v>
      </c>
      <c r="Z21" s="405">
        <f t="shared" si="2"/>
        <v>2889769.4399999995</v>
      </c>
      <c r="AA21" s="405"/>
      <c r="AB21" s="405">
        <v>10549585.560000001</v>
      </c>
      <c r="AC21" s="405"/>
      <c r="AD21" s="405">
        <v>0</v>
      </c>
      <c r="AE21" s="405"/>
      <c r="AF21" s="451">
        <v>4362937.25</v>
      </c>
      <c r="AG21" s="405"/>
      <c r="AH21" s="451">
        <v>10496781.560000001</v>
      </c>
      <c r="AI21" s="405"/>
      <c r="AJ21" s="543">
        <f t="shared" si="3"/>
        <v>52804</v>
      </c>
      <c r="AK21" s="405"/>
      <c r="AL21" s="417">
        <f t="shared" si="4"/>
        <v>2.0810780550945367E-3</v>
      </c>
      <c r="AM21" s="466">
        <v>6.8526310532087754E-4</v>
      </c>
      <c r="AN21" s="384"/>
      <c r="AO21" s="466"/>
      <c r="AP21" s="417"/>
      <c r="AQ21" s="384">
        <f t="shared" si="5"/>
        <v>14859718.810000001</v>
      </c>
      <c r="AR21" s="405"/>
      <c r="AS21" s="404">
        <v>6133844.3099999996</v>
      </c>
    </row>
    <row r="22" spans="2:45" s="404" customFormat="1" ht="15.75" customHeight="1" x14ac:dyDescent="0.2">
      <c r="B22" s="410"/>
      <c r="C22" s="426"/>
      <c r="E22" s="580" t="s">
        <v>702</v>
      </c>
      <c r="G22" s="579" t="s">
        <v>703</v>
      </c>
      <c r="H22" s="578"/>
      <c r="J22" s="518">
        <v>68847890</v>
      </c>
      <c r="K22" s="405"/>
      <c r="L22" s="405">
        <v>0</v>
      </c>
      <c r="M22" s="405"/>
      <c r="N22" s="405">
        <v>0</v>
      </c>
      <c r="O22" s="411"/>
      <c r="P22" s="405">
        <v>0</v>
      </c>
      <c r="Q22" s="405"/>
      <c r="R22" s="405">
        <v>280796103.39999998</v>
      </c>
      <c r="S22" s="405">
        <v>0</v>
      </c>
      <c r="T22" s="405"/>
      <c r="U22" s="405">
        <v>1407837385.1199999</v>
      </c>
      <c r="V22" s="405"/>
      <c r="W22" s="421">
        <v>0</v>
      </c>
      <c r="X22" s="407">
        <v>0</v>
      </c>
      <c r="Y22" s="405">
        <f t="shared" si="1"/>
        <v>0</v>
      </c>
      <c r="Z22" s="405">
        <f t="shared" si="2"/>
        <v>35574322.18</v>
      </c>
      <c r="AA22" s="405"/>
      <c r="AB22" s="405">
        <v>33273567.82</v>
      </c>
      <c r="AC22" s="405"/>
      <c r="AD22" s="405"/>
      <c r="AE22" s="405"/>
      <c r="AF22" s="451">
        <v>2173171.84</v>
      </c>
      <c r="AG22" s="405"/>
      <c r="AH22" s="451">
        <v>32214533.82</v>
      </c>
      <c r="AI22" s="405"/>
      <c r="AJ22" s="543">
        <f t="shared" si="3"/>
        <v>1059034</v>
      </c>
      <c r="AK22" s="405"/>
      <c r="AL22" s="417">
        <f t="shared" si="4"/>
        <v>6.3868109481648363E-3</v>
      </c>
      <c r="AM22" s="466">
        <v>6.4768745857553744E-3</v>
      </c>
      <c r="AN22" s="384">
        <f>+AJ22*-1</f>
        <v>-1059034</v>
      </c>
      <c r="AO22" s="466"/>
      <c r="AP22" s="417"/>
      <c r="AQ22" s="384">
        <f t="shared" si="5"/>
        <v>34387705.659999996</v>
      </c>
      <c r="AR22" s="405"/>
      <c r="AS22" s="404">
        <v>30041361.98</v>
      </c>
    </row>
    <row r="23" spans="2:45" s="404" customFormat="1" ht="15.75" customHeight="1" x14ac:dyDescent="0.2">
      <c r="B23" s="410"/>
      <c r="C23" s="426"/>
      <c r="E23" s="580" t="s">
        <v>704</v>
      </c>
      <c r="G23" s="579" t="s">
        <v>705</v>
      </c>
      <c r="H23" s="578"/>
      <c r="J23" s="518">
        <v>244884701</v>
      </c>
      <c r="K23" s="405"/>
      <c r="L23" s="405">
        <v>0</v>
      </c>
      <c r="M23" s="405"/>
      <c r="N23" s="405">
        <v>0</v>
      </c>
      <c r="O23" s="411"/>
      <c r="P23" s="405">
        <v>0</v>
      </c>
      <c r="Q23" s="405"/>
      <c r="R23" s="405">
        <v>280796103.39999998</v>
      </c>
      <c r="S23" s="405">
        <v>0</v>
      </c>
      <c r="T23" s="405"/>
      <c r="U23" s="405">
        <v>1407837385.1199999</v>
      </c>
      <c r="V23" s="405"/>
      <c r="W23" s="421">
        <v>0</v>
      </c>
      <c r="X23" s="407">
        <v>0</v>
      </c>
      <c r="Y23" s="405">
        <f t="shared" si="1"/>
        <v>0</v>
      </c>
      <c r="Z23" s="405">
        <f t="shared" si="2"/>
        <v>237482728.25</v>
      </c>
      <c r="AA23" s="405"/>
      <c r="AB23" s="405">
        <v>7401972.75</v>
      </c>
      <c r="AC23" s="405"/>
      <c r="AD23" s="405"/>
      <c r="AE23" s="405"/>
      <c r="AF23" s="451">
        <v>294990.94</v>
      </c>
      <c r="AG23" s="405"/>
      <c r="AH23" s="451">
        <v>3491595.75</v>
      </c>
      <c r="AI23" s="405"/>
      <c r="AJ23" s="543">
        <f t="shared" si="3"/>
        <v>3910377</v>
      </c>
      <c r="AK23" s="405"/>
      <c r="AL23" s="417">
        <f t="shared" si="4"/>
        <v>6.9223916407634093E-4</v>
      </c>
      <c r="AM23" s="466">
        <v>1.0936208936605348E-6</v>
      </c>
      <c r="AN23" s="384"/>
      <c r="AO23" s="466"/>
      <c r="AP23" s="417"/>
      <c r="AQ23" s="384">
        <f t="shared" si="5"/>
        <v>3786586.69</v>
      </c>
      <c r="AR23" s="405"/>
      <c r="AS23" s="404">
        <v>3196604.81</v>
      </c>
    </row>
    <row r="24" spans="2:45" s="404" customFormat="1" ht="15.75" customHeight="1" x14ac:dyDescent="0.2">
      <c r="B24" s="410"/>
      <c r="C24" s="426"/>
      <c r="E24" s="580" t="s">
        <v>706</v>
      </c>
      <c r="G24" s="579" t="s">
        <v>707</v>
      </c>
      <c r="H24" s="578"/>
      <c r="J24" s="518">
        <v>34218442</v>
      </c>
      <c r="K24" s="405"/>
      <c r="L24" s="405">
        <v>0</v>
      </c>
      <c r="M24" s="405"/>
      <c r="N24" s="405">
        <v>0</v>
      </c>
      <c r="O24" s="411"/>
      <c r="P24" s="405">
        <v>0</v>
      </c>
      <c r="Q24" s="405"/>
      <c r="R24" s="405">
        <v>280796103.39999998</v>
      </c>
      <c r="S24" s="405">
        <v>0</v>
      </c>
      <c r="T24" s="405"/>
      <c r="U24" s="405">
        <v>1407837385.1199999</v>
      </c>
      <c r="V24" s="405"/>
      <c r="W24" s="421">
        <v>0</v>
      </c>
      <c r="X24" s="407">
        <v>0</v>
      </c>
      <c r="Y24" s="405">
        <f t="shared" si="1"/>
        <v>0</v>
      </c>
      <c r="Z24" s="405">
        <f t="shared" si="2"/>
        <v>8005650.8299999982</v>
      </c>
      <c r="AA24" s="405"/>
      <c r="AB24" s="405">
        <v>26212791.170000002</v>
      </c>
      <c r="AC24" s="405"/>
      <c r="AD24" s="405"/>
      <c r="AE24" s="405"/>
      <c r="AF24" s="451">
        <v>8413797.870000001</v>
      </c>
      <c r="AG24" s="405"/>
      <c r="AH24" s="451">
        <v>17958709.190000001</v>
      </c>
      <c r="AI24" s="405"/>
      <c r="AJ24" s="543">
        <f t="shared" si="3"/>
        <v>8254081.9800000004</v>
      </c>
      <c r="AK24" s="405"/>
      <c r="AL24" s="417">
        <f t="shared" si="4"/>
        <v>3.5604699763928005E-3</v>
      </c>
      <c r="AM24" s="466">
        <v>3.0235055878991696E-3</v>
      </c>
      <c r="AN24" s="384">
        <f t="shared" ref="AN24:AN30" si="6">+AJ24*-1</f>
        <v>-8254081.9800000004</v>
      </c>
      <c r="AO24" s="466"/>
      <c r="AP24" s="417"/>
      <c r="AQ24" s="384">
        <f t="shared" si="5"/>
        <v>26372507.060000002</v>
      </c>
      <c r="AR24" s="405"/>
      <c r="AS24" s="404">
        <v>9544911.3200000003</v>
      </c>
    </row>
    <row r="25" spans="2:45" s="404" customFormat="1" ht="15.75" customHeight="1" x14ac:dyDescent="0.2">
      <c r="B25" s="410"/>
      <c r="C25" s="426"/>
      <c r="E25" s="580" t="s">
        <v>708</v>
      </c>
      <c r="G25" s="579" t="s">
        <v>709</v>
      </c>
      <c r="H25" s="578"/>
      <c r="J25" s="518">
        <v>3611516</v>
      </c>
      <c r="K25" s="405"/>
      <c r="L25" s="405">
        <v>0</v>
      </c>
      <c r="M25" s="405"/>
      <c r="N25" s="405">
        <v>0</v>
      </c>
      <c r="O25" s="411"/>
      <c r="P25" s="405">
        <v>0</v>
      </c>
      <c r="Q25" s="405"/>
      <c r="R25" s="405">
        <v>280796103.39999998</v>
      </c>
      <c r="S25" s="405">
        <v>0</v>
      </c>
      <c r="T25" s="405"/>
      <c r="U25" s="405">
        <v>1407837385.1199999</v>
      </c>
      <c r="V25" s="405"/>
      <c r="W25" s="421">
        <v>0</v>
      </c>
      <c r="X25" s="407">
        <v>0</v>
      </c>
      <c r="Y25" s="405">
        <f t="shared" si="1"/>
        <v>0</v>
      </c>
      <c r="Z25" s="405">
        <f t="shared" si="2"/>
        <v>342974</v>
      </c>
      <c r="AA25" s="405"/>
      <c r="AB25" s="405">
        <v>3268542</v>
      </c>
      <c r="AC25" s="405"/>
      <c r="AD25" s="405"/>
      <c r="AE25" s="405"/>
      <c r="AF25" s="451">
        <v>3208320</v>
      </c>
      <c r="AG25" s="405"/>
      <c r="AH25" s="451">
        <v>3208320</v>
      </c>
      <c r="AI25" s="405"/>
      <c r="AJ25" s="543">
        <f t="shared" si="3"/>
        <v>60222</v>
      </c>
      <c r="AK25" s="405"/>
      <c r="AL25" s="417">
        <f t="shared" si="4"/>
        <v>6.3607728783877861E-4</v>
      </c>
      <c r="AM25" s="466">
        <v>2.9383248963289754E-4</v>
      </c>
      <c r="AN25" s="384">
        <f t="shared" si="6"/>
        <v>-60222</v>
      </c>
      <c r="AO25" s="466"/>
      <c r="AP25" s="417"/>
      <c r="AQ25" s="384">
        <f t="shared" si="5"/>
        <v>6416640</v>
      </c>
      <c r="AR25" s="405"/>
      <c r="AS25" s="404">
        <v>0</v>
      </c>
    </row>
    <row r="26" spans="2:45" s="404" customFormat="1" ht="15.75" customHeight="1" x14ac:dyDescent="0.2">
      <c r="B26" s="410"/>
      <c r="C26" s="426"/>
      <c r="E26" s="580" t="s">
        <v>710</v>
      </c>
      <c r="G26" s="579" t="s">
        <v>711</v>
      </c>
      <c r="H26" s="578"/>
      <c r="J26" s="518">
        <v>659039173</v>
      </c>
      <c r="K26" s="405"/>
      <c r="L26" s="405">
        <v>0</v>
      </c>
      <c r="M26" s="405"/>
      <c r="N26" s="405">
        <v>0</v>
      </c>
      <c r="O26" s="411"/>
      <c r="P26" s="405">
        <v>0</v>
      </c>
      <c r="Q26" s="405"/>
      <c r="R26" s="405">
        <v>280796103.39999998</v>
      </c>
      <c r="S26" s="405">
        <v>0</v>
      </c>
      <c r="T26" s="405"/>
      <c r="U26" s="405">
        <v>1407837385.1199999</v>
      </c>
      <c r="V26" s="405"/>
      <c r="W26" s="421">
        <v>0</v>
      </c>
      <c r="X26" s="407">
        <v>0</v>
      </c>
      <c r="Y26" s="405">
        <f t="shared" si="1"/>
        <v>0</v>
      </c>
      <c r="Z26" s="405">
        <f t="shared" si="2"/>
        <v>180331109.58999997</v>
      </c>
      <c r="AA26" s="405"/>
      <c r="AB26" s="405">
        <v>478708063.41000003</v>
      </c>
      <c r="AC26" s="405"/>
      <c r="AD26" s="405"/>
      <c r="AE26" s="405"/>
      <c r="AF26" s="451">
        <v>195896320.88999999</v>
      </c>
      <c r="AG26" s="405"/>
      <c r="AH26" s="451">
        <v>468258305.41000003</v>
      </c>
      <c r="AI26" s="405"/>
      <c r="AJ26" s="543">
        <f t="shared" si="3"/>
        <v>10449758</v>
      </c>
      <c r="AK26" s="405"/>
      <c r="AL26" s="417">
        <f t="shared" si="4"/>
        <v>9.2836273474334013E-2</v>
      </c>
      <c r="AM26" s="466">
        <v>2.4051387068106723E-3</v>
      </c>
      <c r="AN26" s="384">
        <f t="shared" si="6"/>
        <v>-10449758</v>
      </c>
      <c r="AO26" s="466"/>
      <c r="AP26" s="417"/>
      <c r="AQ26" s="384">
        <f t="shared" si="5"/>
        <v>664154626.29999995</v>
      </c>
      <c r="AR26" s="405"/>
      <c r="AS26" s="404">
        <v>272361984.51999998</v>
      </c>
    </row>
    <row r="27" spans="2:45" s="404" customFormat="1" ht="15.75" customHeight="1" x14ac:dyDescent="0.2">
      <c r="B27" s="410"/>
      <c r="C27" s="426"/>
      <c r="E27" s="580" t="s">
        <v>712</v>
      </c>
      <c r="G27" s="579" t="s">
        <v>713</v>
      </c>
      <c r="H27" s="578"/>
      <c r="J27" s="518">
        <v>2831220</v>
      </c>
      <c r="K27" s="405"/>
      <c r="L27" s="405"/>
      <c r="M27" s="405"/>
      <c r="N27" s="405"/>
      <c r="O27" s="411"/>
      <c r="P27" s="405"/>
      <c r="Q27" s="405"/>
      <c r="R27" s="405"/>
      <c r="S27" s="405"/>
      <c r="T27" s="405"/>
      <c r="U27" s="405"/>
      <c r="V27" s="405"/>
      <c r="W27" s="421"/>
      <c r="X27" s="407"/>
      <c r="Y27" s="405">
        <f t="shared" si="1"/>
        <v>0</v>
      </c>
      <c r="Z27" s="405">
        <f t="shared" si="2"/>
        <v>527151</v>
      </c>
      <c r="AA27" s="405"/>
      <c r="AB27" s="405">
        <v>2304069</v>
      </c>
      <c r="AC27" s="405"/>
      <c r="AD27" s="405"/>
      <c r="AE27" s="405"/>
      <c r="AF27" s="451">
        <v>2273400</v>
      </c>
      <c r="AG27" s="405"/>
      <c r="AH27" s="451">
        <v>2273400</v>
      </c>
      <c r="AI27" s="405"/>
      <c r="AJ27" s="543">
        <f t="shared" si="3"/>
        <v>30669</v>
      </c>
      <c r="AK27" s="405"/>
      <c r="AL27" s="417"/>
      <c r="AM27" s="466"/>
      <c r="AN27" s="384">
        <f t="shared" si="6"/>
        <v>-30669</v>
      </c>
      <c r="AO27" s="466"/>
      <c r="AP27" s="417"/>
      <c r="AQ27" s="384">
        <f t="shared" si="5"/>
        <v>4546800</v>
      </c>
      <c r="AR27" s="405"/>
      <c r="AS27" s="404">
        <v>0</v>
      </c>
    </row>
    <row r="28" spans="2:45" s="404" customFormat="1" ht="15.75" customHeight="1" x14ac:dyDescent="0.2">
      <c r="B28" s="410"/>
      <c r="C28" s="426"/>
      <c r="E28" s="580" t="s">
        <v>714</v>
      </c>
      <c r="G28" s="579" t="s">
        <v>715</v>
      </c>
      <c r="H28" s="578"/>
      <c r="J28" s="518">
        <v>10144150</v>
      </c>
      <c r="K28" s="405"/>
      <c r="L28" s="405">
        <v>0</v>
      </c>
      <c r="M28" s="405"/>
      <c r="N28" s="405">
        <v>0</v>
      </c>
      <c r="O28" s="411"/>
      <c r="P28" s="405">
        <v>0</v>
      </c>
      <c r="Q28" s="405"/>
      <c r="R28" s="405">
        <v>280796103.39999998</v>
      </c>
      <c r="S28" s="405">
        <v>0</v>
      </c>
      <c r="T28" s="405"/>
      <c r="U28" s="405">
        <v>1407837385.1199999</v>
      </c>
      <c r="V28" s="405"/>
      <c r="W28" s="421">
        <v>0</v>
      </c>
      <c r="X28" s="407">
        <v>0</v>
      </c>
      <c r="Y28" s="405">
        <f t="shared" si="1"/>
        <v>39652321.840000004</v>
      </c>
      <c r="Z28" s="405">
        <f t="shared" si="2"/>
        <v>0</v>
      </c>
      <c r="AA28" s="405"/>
      <c r="AB28" s="405">
        <v>49796471.840000004</v>
      </c>
      <c r="AC28" s="405"/>
      <c r="AD28" s="405">
        <v>0</v>
      </c>
      <c r="AE28" s="405"/>
      <c r="AF28" s="451">
        <v>28979248.919999998</v>
      </c>
      <c r="AG28" s="405"/>
      <c r="AH28" s="451">
        <v>49636850.840000004</v>
      </c>
      <c r="AI28" s="405"/>
      <c r="AJ28" s="543">
        <f t="shared" si="3"/>
        <v>159621</v>
      </c>
      <c r="AK28" s="405"/>
      <c r="AL28" s="417">
        <f>+AH28/$AH$14</f>
        <v>9.8409365210344359E-3</v>
      </c>
      <c r="AM28" s="466">
        <v>6.1486015449162927E-2</v>
      </c>
      <c r="AN28" s="384">
        <f t="shared" si="6"/>
        <v>-159621</v>
      </c>
      <c r="AO28" s="466"/>
      <c r="AP28" s="417"/>
      <c r="AQ28" s="384">
        <f t="shared" si="5"/>
        <v>78616099.760000005</v>
      </c>
      <c r="AR28" s="405"/>
      <c r="AS28" s="404">
        <v>20657601.919999998</v>
      </c>
    </row>
    <row r="29" spans="2:45" s="404" customFormat="1" ht="15.75" customHeight="1" x14ac:dyDescent="0.2">
      <c r="B29" s="410"/>
      <c r="C29" s="426"/>
      <c r="E29" s="580" t="s">
        <v>716</v>
      </c>
      <c r="G29" s="579" t="s">
        <v>717</v>
      </c>
      <c r="H29" s="578"/>
      <c r="J29" s="518">
        <v>213434221</v>
      </c>
      <c r="K29" s="405"/>
      <c r="L29" s="405">
        <v>0</v>
      </c>
      <c r="M29" s="405"/>
      <c r="N29" s="405">
        <v>0</v>
      </c>
      <c r="O29" s="411"/>
      <c r="P29" s="405">
        <v>0</v>
      </c>
      <c r="Q29" s="405"/>
      <c r="R29" s="405">
        <v>280796103.39999998</v>
      </c>
      <c r="S29" s="405">
        <v>0</v>
      </c>
      <c r="T29" s="405"/>
      <c r="U29" s="405">
        <v>1407837385.1199999</v>
      </c>
      <c r="V29" s="405"/>
      <c r="W29" s="421">
        <v>0</v>
      </c>
      <c r="X29" s="407">
        <v>0</v>
      </c>
      <c r="Y29" s="405">
        <f t="shared" si="1"/>
        <v>0</v>
      </c>
      <c r="Z29" s="405">
        <f t="shared" si="2"/>
        <v>213434221</v>
      </c>
      <c r="AA29" s="405"/>
      <c r="AB29" s="405">
        <v>0</v>
      </c>
      <c r="AC29" s="405"/>
      <c r="AD29" s="405"/>
      <c r="AE29" s="405"/>
      <c r="AF29" s="451">
        <v>0</v>
      </c>
      <c r="AG29" s="405"/>
      <c r="AH29" s="451">
        <v>0</v>
      </c>
      <c r="AI29" s="405"/>
      <c r="AJ29" s="543">
        <f t="shared" si="3"/>
        <v>0</v>
      </c>
      <c r="AK29" s="405"/>
      <c r="AL29" s="417">
        <f>+AH29/$AH$14</f>
        <v>0</v>
      </c>
      <c r="AM29" s="466">
        <v>2.804430776072913E-2</v>
      </c>
      <c r="AN29" s="384">
        <f t="shared" si="6"/>
        <v>0</v>
      </c>
      <c r="AO29" s="466"/>
      <c r="AP29" s="417"/>
      <c r="AQ29" s="384">
        <f t="shared" si="5"/>
        <v>0</v>
      </c>
      <c r="AR29" s="405"/>
      <c r="AS29" s="404">
        <v>0</v>
      </c>
    </row>
    <row r="30" spans="2:45" s="404" customFormat="1" ht="15.75" customHeight="1" x14ac:dyDescent="0.2">
      <c r="B30" s="410"/>
      <c r="C30" s="426"/>
      <c r="E30" s="580" t="s">
        <v>718</v>
      </c>
      <c r="G30" s="579" t="s">
        <v>719</v>
      </c>
      <c r="H30" s="578"/>
      <c r="J30" s="518">
        <v>3055429</v>
      </c>
      <c r="K30" s="405"/>
      <c r="L30" s="405">
        <v>0</v>
      </c>
      <c r="M30" s="405"/>
      <c r="N30" s="405">
        <v>0</v>
      </c>
      <c r="O30" s="411"/>
      <c r="P30" s="405">
        <v>0</v>
      </c>
      <c r="Q30" s="405"/>
      <c r="R30" s="405">
        <v>280796103.39999998</v>
      </c>
      <c r="S30" s="405">
        <v>0</v>
      </c>
      <c r="T30" s="405"/>
      <c r="U30" s="405">
        <v>1407837385.1199999</v>
      </c>
      <c r="V30" s="405"/>
      <c r="W30" s="421">
        <v>0</v>
      </c>
      <c r="X30" s="407">
        <v>0</v>
      </c>
      <c r="Y30" s="405">
        <f t="shared" si="1"/>
        <v>0</v>
      </c>
      <c r="Z30" s="405">
        <f t="shared" si="2"/>
        <v>3055429</v>
      </c>
      <c r="AA30" s="405"/>
      <c r="AB30" s="405">
        <v>0</v>
      </c>
      <c r="AC30" s="405"/>
      <c r="AD30" s="405"/>
      <c r="AE30" s="405"/>
      <c r="AF30" s="451">
        <v>0</v>
      </c>
      <c r="AG30" s="405"/>
      <c r="AH30" s="451">
        <v>0</v>
      </c>
      <c r="AI30" s="405"/>
      <c r="AJ30" s="543">
        <f t="shared" si="3"/>
        <v>0</v>
      </c>
      <c r="AK30" s="405"/>
      <c r="AL30" s="417">
        <f>+AH30/$AH$14</f>
        <v>0</v>
      </c>
      <c r="AM30" s="466">
        <v>9.9852820813478901E-3</v>
      </c>
      <c r="AN30" s="384">
        <f t="shared" si="6"/>
        <v>0</v>
      </c>
      <c r="AO30" s="466"/>
      <c r="AP30" s="417"/>
      <c r="AQ30" s="384">
        <f t="shared" si="5"/>
        <v>0</v>
      </c>
      <c r="AR30" s="405"/>
      <c r="AS30" s="404">
        <v>0</v>
      </c>
    </row>
    <row r="31" spans="2:45" s="404" customFormat="1" ht="15.75" customHeight="1" x14ac:dyDescent="0.2">
      <c r="B31" s="410"/>
      <c r="C31" s="426"/>
      <c r="E31" s="580" t="s">
        <v>720</v>
      </c>
      <c r="G31" s="579" t="s">
        <v>721</v>
      </c>
      <c r="H31" s="578"/>
      <c r="J31" s="518">
        <v>18093792</v>
      </c>
      <c r="K31" s="405"/>
      <c r="L31" s="405">
        <v>0</v>
      </c>
      <c r="M31" s="405"/>
      <c r="N31" s="405">
        <v>0</v>
      </c>
      <c r="O31" s="411"/>
      <c r="P31" s="405">
        <v>0</v>
      </c>
      <c r="Q31" s="405"/>
      <c r="R31" s="405">
        <v>280796103.39999998</v>
      </c>
      <c r="S31" s="405">
        <v>0</v>
      </c>
      <c r="T31" s="405"/>
      <c r="U31" s="405">
        <v>1407837385.1199999</v>
      </c>
      <c r="V31" s="405"/>
      <c r="W31" s="421">
        <v>0</v>
      </c>
      <c r="X31" s="407">
        <v>0</v>
      </c>
      <c r="Y31" s="405">
        <f t="shared" si="1"/>
        <v>0</v>
      </c>
      <c r="Z31" s="405">
        <f t="shared" si="2"/>
        <v>18093792</v>
      </c>
      <c r="AA31" s="405"/>
      <c r="AB31" s="405">
        <v>0</v>
      </c>
      <c r="AC31" s="405"/>
      <c r="AD31" s="405"/>
      <c r="AE31" s="405"/>
      <c r="AF31" s="451">
        <v>0</v>
      </c>
      <c r="AG31" s="405"/>
      <c r="AH31" s="451">
        <v>0</v>
      </c>
      <c r="AI31" s="405"/>
      <c r="AJ31" s="543">
        <f t="shared" si="3"/>
        <v>0</v>
      </c>
      <c r="AK31" s="405"/>
      <c r="AL31" s="417">
        <f>+AH31/$AH$14</f>
        <v>0</v>
      </c>
      <c r="AM31" s="466">
        <v>0.35690409388450262</v>
      </c>
      <c r="AN31" s="384"/>
      <c r="AO31" s="466"/>
      <c r="AP31" s="417"/>
      <c r="AQ31" s="384">
        <f t="shared" si="5"/>
        <v>0</v>
      </c>
      <c r="AR31" s="405"/>
      <c r="AS31" s="404">
        <v>0</v>
      </c>
    </row>
    <row r="32" spans="2:45" s="404" customFormat="1" ht="15.75" customHeight="1" x14ac:dyDescent="0.2">
      <c r="B32" s="581"/>
      <c r="C32" s="426"/>
      <c r="E32" s="580">
        <v>15303</v>
      </c>
      <c r="G32" s="579" t="s">
        <v>893</v>
      </c>
      <c r="H32" s="578"/>
      <c r="J32" s="518">
        <v>8640000</v>
      </c>
      <c r="K32" s="405"/>
      <c r="L32" s="405"/>
      <c r="M32" s="405"/>
      <c r="N32" s="405"/>
      <c r="O32" s="411"/>
      <c r="P32" s="405"/>
      <c r="Q32" s="405"/>
      <c r="R32" s="405"/>
      <c r="S32" s="405"/>
      <c r="T32" s="405"/>
      <c r="U32" s="405"/>
      <c r="V32" s="405"/>
      <c r="W32" s="421"/>
      <c r="X32" s="407"/>
      <c r="Y32" s="405">
        <f t="shared" si="1"/>
        <v>0</v>
      </c>
      <c r="Z32" s="405">
        <f t="shared" si="2"/>
        <v>4405166.62</v>
      </c>
      <c r="AA32" s="405"/>
      <c r="AB32" s="405">
        <v>4234833.38</v>
      </c>
      <c r="AC32" s="405"/>
      <c r="AD32" s="405"/>
      <c r="AE32" s="405"/>
      <c r="AF32" s="451">
        <v>1199421.72</v>
      </c>
      <c r="AG32" s="405"/>
      <c r="AH32" s="451">
        <v>4234833.38</v>
      </c>
      <c r="AI32" s="405"/>
      <c r="AJ32" s="543">
        <f t="shared" si="3"/>
        <v>0</v>
      </c>
      <c r="AK32" s="405"/>
      <c r="AL32" s="417"/>
      <c r="AM32" s="466"/>
      <c r="AN32" s="384"/>
      <c r="AO32" s="466"/>
      <c r="AP32" s="417"/>
      <c r="AQ32" s="384"/>
      <c r="AR32" s="405"/>
      <c r="AS32" s="404">
        <v>3035411.66</v>
      </c>
    </row>
    <row r="33" spans="2:46" s="404" customFormat="1" ht="15.75" customHeight="1" x14ac:dyDescent="0.2">
      <c r="B33" s="581"/>
      <c r="C33" s="426"/>
      <c r="E33" s="580" t="s">
        <v>722</v>
      </c>
      <c r="G33" s="579" t="s">
        <v>723</v>
      </c>
      <c r="H33" s="578"/>
      <c r="J33" s="518">
        <v>3141574</v>
      </c>
      <c r="K33" s="405"/>
      <c r="L33" s="405"/>
      <c r="M33" s="405"/>
      <c r="N33" s="405"/>
      <c r="O33" s="411"/>
      <c r="P33" s="405"/>
      <c r="Q33" s="405"/>
      <c r="R33" s="405"/>
      <c r="S33" s="405"/>
      <c r="T33" s="405"/>
      <c r="U33" s="405"/>
      <c r="V33" s="405"/>
      <c r="W33" s="421"/>
      <c r="X33" s="407"/>
      <c r="Y33" s="405">
        <f t="shared" si="1"/>
        <v>0</v>
      </c>
      <c r="Z33" s="405">
        <f t="shared" si="2"/>
        <v>723633.45000000019</v>
      </c>
      <c r="AA33" s="405"/>
      <c r="AB33" s="405">
        <v>2417940.5499999998</v>
      </c>
      <c r="AC33" s="405"/>
      <c r="AD33" s="405"/>
      <c r="AE33" s="405"/>
      <c r="AF33" s="451">
        <v>946248.75</v>
      </c>
      <c r="AG33" s="405"/>
      <c r="AH33" s="451">
        <v>2359313.5499999998</v>
      </c>
      <c r="AI33" s="405"/>
      <c r="AJ33" s="543">
        <f t="shared" si="3"/>
        <v>58627</v>
      </c>
      <c r="AK33" s="405"/>
      <c r="AL33" s="417"/>
      <c r="AM33" s="466"/>
      <c r="AN33" s="384"/>
      <c r="AO33" s="466"/>
      <c r="AP33" s="417"/>
      <c r="AQ33" s="384">
        <f>++AF33+AH33</f>
        <v>3305562.3</v>
      </c>
      <c r="AR33" s="405"/>
      <c r="AS33" s="404">
        <v>1413064.8</v>
      </c>
    </row>
    <row r="34" spans="2:46" s="404" customFormat="1" ht="15.75" customHeight="1" x14ac:dyDescent="0.2">
      <c r="B34" s="581"/>
      <c r="C34" s="426"/>
      <c r="E34" s="580" t="s">
        <v>724</v>
      </c>
      <c r="G34" s="579" t="s">
        <v>372</v>
      </c>
      <c r="H34" s="578"/>
      <c r="J34" s="518">
        <v>55341415.060000002</v>
      </c>
      <c r="K34" s="405"/>
      <c r="L34" s="405">
        <v>0</v>
      </c>
      <c r="M34" s="405"/>
      <c r="N34" s="405">
        <v>0</v>
      </c>
      <c r="O34" s="411"/>
      <c r="P34" s="405">
        <v>0</v>
      </c>
      <c r="Q34" s="405"/>
      <c r="R34" s="405">
        <v>280796103.39999998</v>
      </c>
      <c r="S34" s="405">
        <v>0</v>
      </c>
      <c r="T34" s="405"/>
      <c r="U34" s="405">
        <v>1407837385.1199999</v>
      </c>
      <c r="V34" s="405"/>
      <c r="W34" s="421">
        <v>0</v>
      </c>
      <c r="X34" s="407">
        <v>0</v>
      </c>
      <c r="Y34" s="405">
        <f>38437740.65+13541.99</f>
        <v>38451282.640000001</v>
      </c>
      <c r="Z34" s="405">
        <f t="shared" si="2"/>
        <v>0</v>
      </c>
      <c r="AA34" s="405"/>
      <c r="AB34" s="405">
        <f>+J34+Y34</f>
        <v>93792697.700000003</v>
      </c>
      <c r="AC34" s="405"/>
      <c r="AD34" s="405"/>
      <c r="AE34" s="405"/>
      <c r="AF34" s="451">
        <v>24485733.359999999</v>
      </c>
      <c r="AG34" s="405"/>
      <c r="AH34" s="451">
        <v>40184835.960000001</v>
      </c>
      <c r="AI34" s="405"/>
      <c r="AJ34" s="543">
        <f>+AB34-AH34-13541.99</f>
        <v>53594319.75</v>
      </c>
      <c r="AK34" s="405"/>
      <c r="AL34" s="417">
        <f>+AH34/$AH$14</f>
        <v>7.9669925287013214E-3</v>
      </c>
      <c r="AM34" s="466">
        <v>1.2935040125385726E-3</v>
      </c>
      <c r="AN34" s="384"/>
      <c r="AO34" s="466"/>
      <c r="AP34" s="417"/>
      <c r="AQ34" s="384">
        <f>++AF34+AH34</f>
        <v>64670569.32</v>
      </c>
      <c r="AR34" s="405"/>
      <c r="AS34" s="404">
        <v>7791474.79</v>
      </c>
    </row>
    <row r="35" spans="2:46" s="404" customFormat="1" ht="15.75" customHeight="1" x14ac:dyDescent="0.2">
      <c r="B35" s="410"/>
      <c r="C35" s="426"/>
      <c r="E35" s="580" t="s">
        <v>725</v>
      </c>
      <c r="G35" s="579" t="s">
        <v>726</v>
      </c>
      <c r="H35" s="578"/>
      <c r="J35" s="518">
        <v>717861509</v>
      </c>
      <c r="K35" s="405"/>
      <c r="L35" s="405">
        <v>0</v>
      </c>
      <c r="M35" s="405"/>
      <c r="N35" s="405">
        <v>0</v>
      </c>
      <c r="O35" s="411"/>
      <c r="P35" s="405">
        <v>0</v>
      </c>
      <c r="Q35" s="405"/>
      <c r="R35" s="405">
        <v>280796103.39999998</v>
      </c>
      <c r="S35" s="405">
        <v>0</v>
      </c>
      <c r="T35" s="405"/>
      <c r="U35" s="405">
        <v>1407837385.1199999</v>
      </c>
      <c r="V35" s="405"/>
      <c r="W35" s="421">
        <v>0</v>
      </c>
      <c r="X35" s="407">
        <v>0</v>
      </c>
      <c r="Y35" s="405">
        <f t="shared" ref="Y35:Y45" si="7">+IF((J35-AB35)&lt;0,AB35-J35,0)</f>
        <v>0</v>
      </c>
      <c r="Z35" s="405">
        <f t="shared" si="2"/>
        <v>406666814.57999998</v>
      </c>
      <c r="AA35" s="405"/>
      <c r="AB35" s="405">
        <v>311194694.42000002</v>
      </c>
      <c r="AC35" s="405"/>
      <c r="AD35" s="405"/>
      <c r="AE35" s="405"/>
      <c r="AF35" s="451">
        <v>110853310.89000002</v>
      </c>
      <c r="AG35" s="405"/>
      <c r="AH35" s="451">
        <v>302181697.42000002</v>
      </c>
      <c r="AI35" s="405"/>
      <c r="AJ35" s="543">
        <f t="shared" ref="AJ35:AJ45" si="8">+AB35-AH35</f>
        <v>9012997</v>
      </c>
      <c r="AK35" s="405"/>
      <c r="AL35" s="417">
        <f>+AH35/$AH$14</f>
        <v>5.99101444149686E-2</v>
      </c>
      <c r="AM35" s="466">
        <v>3.4777097477332316E-6</v>
      </c>
      <c r="AN35" s="384"/>
      <c r="AO35" s="466"/>
      <c r="AP35" s="417"/>
      <c r="AQ35" s="384">
        <f>++AF35+AH35</f>
        <v>413035008.31000006</v>
      </c>
      <c r="AR35" s="405"/>
      <c r="AS35" s="404">
        <v>191328386.53</v>
      </c>
    </row>
    <row r="36" spans="2:46" s="404" customFormat="1" ht="15.75" customHeight="1" x14ac:dyDescent="0.2">
      <c r="B36" s="410"/>
      <c r="C36" s="426"/>
      <c r="E36" s="580" t="s">
        <v>727</v>
      </c>
      <c r="G36" s="579" t="s">
        <v>728</v>
      </c>
      <c r="H36" s="578"/>
      <c r="J36" s="518">
        <v>133850176</v>
      </c>
      <c r="K36" s="405"/>
      <c r="L36" s="405"/>
      <c r="M36" s="405"/>
      <c r="N36" s="405"/>
      <c r="O36" s="411"/>
      <c r="P36" s="405"/>
      <c r="Q36" s="405"/>
      <c r="R36" s="405"/>
      <c r="S36" s="405"/>
      <c r="T36" s="405"/>
      <c r="U36" s="405"/>
      <c r="V36" s="405"/>
      <c r="W36" s="421"/>
      <c r="X36" s="407"/>
      <c r="Y36" s="405">
        <f t="shared" si="7"/>
        <v>0</v>
      </c>
      <c r="Z36" s="405">
        <f t="shared" si="2"/>
        <v>30657888.890000001</v>
      </c>
      <c r="AA36" s="405"/>
      <c r="AB36" s="405">
        <v>103192287.11</v>
      </c>
      <c r="AC36" s="405"/>
      <c r="AD36" s="405"/>
      <c r="AE36" s="405"/>
      <c r="AF36" s="451">
        <v>39395711.079999998</v>
      </c>
      <c r="AG36" s="405"/>
      <c r="AH36" s="451">
        <v>100925970.11</v>
      </c>
      <c r="AI36" s="405"/>
      <c r="AJ36" s="543">
        <f t="shared" si="8"/>
        <v>2266317</v>
      </c>
      <c r="AK36" s="405"/>
      <c r="AL36" s="417"/>
      <c r="AM36" s="466"/>
      <c r="AN36" s="384"/>
      <c r="AO36" s="466"/>
      <c r="AP36" s="417"/>
      <c r="AQ36" s="384"/>
      <c r="AR36" s="405"/>
      <c r="AS36" s="404">
        <v>61530259.030000001</v>
      </c>
    </row>
    <row r="37" spans="2:46" s="404" customFormat="1" ht="15.75" customHeight="1" x14ac:dyDescent="0.2">
      <c r="B37" s="410"/>
      <c r="C37" s="426"/>
      <c r="E37" s="580">
        <v>15421</v>
      </c>
      <c r="G37" s="579" t="s">
        <v>949</v>
      </c>
      <c r="H37" s="578"/>
      <c r="J37" s="518">
        <v>0</v>
      </c>
      <c r="K37" s="405"/>
      <c r="L37" s="405"/>
      <c r="M37" s="405"/>
      <c r="N37" s="405"/>
      <c r="O37" s="411"/>
      <c r="P37" s="405"/>
      <c r="Q37" s="405"/>
      <c r="R37" s="405"/>
      <c r="S37" s="405"/>
      <c r="T37" s="405"/>
      <c r="U37" s="405"/>
      <c r="V37" s="405"/>
      <c r="W37" s="421"/>
      <c r="X37" s="407"/>
      <c r="Y37" s="405">
        <f t="shared" si="7"/>
        <v>2809152.14</v>
      </c>
      <c r="Z37" s="405">
        <f t="shared" si="2"/>
        <v>0</v>
      </c>
      <c r="AA37" s="405"/>
      <c r="AB37" s="405">
        <v>2809152.14</v>
      </c>
      <c r="AC37" s="405"/>
      <c r="AD37" s="405"/>
      <c r="AE37" s="405"/>
      <c r="AF37" s="451">
        <v>1841264.69</v>
      </c>
      <c r="AG37" s="405"/>
      <c r="AH37" s="451">
        <v>2809152.14</v>
      </c>
      <c r="AI37" s="405"/>
      <c r="AJ37" s="543">
        <f t="shared" si="8"/>
        <v>0</v>
      </c>
      <c r="AK37" s="405"/>
      <c r="AL37" s="417"/>
      <c r="AM37" s="466"/>
      <c r="AN37" s="384"/>
      <c r="AO37" s="466"/>
      <c r="AP37" s="417"/>
      <c r="AQ37" s="384"/>
      <c r="AR37" s="405"/>
      <c r="AS37" s="404">
        <v>967887.45</v>
      </c>
    </row>
    <row r="38" spans="2:46" s="404" customFormat="1" ht="15.75" customHeight="1" x14ac:dyDescent="0.2">
      <c r="B38" s="410"/>
      <c r="C38" s="426"/>
      <c r="E38" s="580" t="s">
        <v>729</v>
      </c>
      <c r="G38" s="579" t="s">
        <v>730</v>
      </c>
      <c r="H38" s="578"/>
      <c r="J38" s="518">
        <v>8700000</v>
      </c>
      <c r="K38" s="405"/>
      <c r="L38" s="405"/>
      <c r="M38" s="405"/>
      <c r="N38" s="405"/>
      <c r="O38" s="411"/>
      <c r="P38" s="405"/>
      <c r="Q38" s="405"/>
      <c r="R38" s="405"/>
      <c r="S38" s="405"/>
      <c r="T38" s="405"/>
      <c r="U38" s="405"/>
      <c r="V38" s="405"/>
      <c r="W38" s="421"/>
      <c r="X38" s="407"/>
      <c r="Y38" s="405">
        <f t="shared" si="7"/>
        <v>0</v>
      </c>
      <c r="Z38" s="405">
        <f t="shared" si="2"/>
        <v>8700000</v>
      </c>
      <c r="AA38" s="405"/>
      <c r="AB38" s="405">
        <v>0</v>
      </c>
      <c r="AC38" s="405"/>
      <c r="AD38" s="405"/>
      <c r="AE38" s="405"/>
      <c r="AF38" s="451">
        <v>0</v>
      </c>
      <c r="AG38" s="405"/>
      <c r="AH38" s="451">
        <v>0</v>
      </c>
      <c r="AI38" s="405"/>
      <c r="AJ38" s="543">
        <f t="shared" si="8"/>
        <v>0</v>
      </c>
      <c r="AK38" s="405"/>
      <c r="AL38" s="417"/>
      <c r="AM38" s="466"/>
      <c r="AN38" s="384"/>
      <c r="AO38" s="466"/>
      <c r="AP38" s="417"/>
      <c r="AQ38" s="384"/>
      <c r="AR38" s="405"/>
      <c r="AS38" s="404">
        <v>0</v>
      </c>
    </row>
    <row r="39" spans="2:46" s="404" customFormat="1" ht="15.75" customHeight="1" x14ac:dyDescent="0.2">
      <c r="B39" s="410"/>
      <c r="C39" s="426"/>
      <c r="E39" s="580" t="s">
        <v>731</v>
      </c>
      <c r="G39" s="579" t="s">
        <v>839</v>
      </c>
      <c r="H39" s="578"/>
      <c r="J39" s="518">
        <v>1800000</v>
      </c>
      <c r="K39" s="405"/>
      <c r="L39" s="405"/>
      <c r="M39" s="405"/>
      <c r="N39" s="405"/>
      <c r="O39" s="411"/>
      <c r="P39" s="405"/>
      <c r="Q39" s="405"/>
      <c r="R39" s="405"/>
      <c r="S39" s="405"/>
      <c r="T39" s="405"/>
      <c r="U39" s="405"/>
      <c r="V39" s="405"/>
      <c r="W39" s="421"/>
      <c r="X39" s="407"/>
      <c r="Y39" s="405">
        <f t="shared" si="7"/>
        <v>0</v>
      </c>
      <c r="Z39" s="405">
        <f t="shared" si="2"/>
        <v>1800000</v>
      </c>
      <c r="AA39" s="405"/>
      <c r="AB39" s="405">
        <v>0</v>
      </c>
      <c r="AC39" s="405"/>
      <c r="AD39" s="405"/>
      <c r="AE39" s="405"/>
      <c r="AF39" s="451">
        <v>0</v>
      </c>
      <c r="AG39" s="405"/>
      <c r="AH39" s="451">
        <v>0</v>
      </c>
      <c r="AI39" s="405"/>
      <c r="AJ39" s="543">
        <f t="shared" si="8"/>
        <v>0</v>
      </c>
      <c r="AK39" s="405"/>
      <c r="AL39" s="417"/>
      <c r="AM39" s="466"/>
      <c r="AN39" s="384"/>
      <c r="AO39" s="466"/>
      <c r="AP39" s="417"/>
      <c r="AQ39" s="384"/>
      <c r="AR39" s="405"/>
      <c r="AS39" s="404">
        <v>0</v>
      </c>
    </row>
    <row r="40" spans="2:46" s="404" customFormat="1" ht="15.75" customHeight="1" x14ac:dyDescent="0.2">
      <c r="B40" s="410"/>
      <c r="C40" s="426"/>
      <c r="E40" s="580" t="s">
        <v>732</v>
      </c>
      <c r="G40" s="579" t="s">
        <v>733</v>
      </c>
      <c r="H40" s="578"/>
      <c r="J40" s="518">
        <v>39053631</v>
      </c>
      <c r="K40" s="405"/>
      <c r="L40" s="405"/>
      <c r="M40" s="405"/>
      <c r="N40" s="405"/>
      <c r="O40" s="411"/>
      <c r="P40" s="405"/>
      <c r="Q40" s="405"/>
      <c r="R40" s="405"/>
      <c r="S40" s="405"/>
      <c r="T40" s="405"/>
      <c r="U40" s="405"/>
      <c r="V40" s="405"/>
      <c r="W40" s="421"/>
      <c r="X40" s="407"/>
      <c r="Y40" s="405">
        <f t="shared" si="7"/>
        <v>0</v>
      </c>
      <c r="Z40" s="405">
        <f t="shared" si="2"/>
        <v>14923402.879999999</v>
      </c>
      <c r="AA40" s="405"/>
      <c r="AB40" s="405">
        <v>24130228.120000001</v>
      </c>
      <c r="AC40" s="405"/>
      <c r="AD40" s="405"/>
      <c r="AE40" s="405"/>
      <c r="AF40" s="451">
        <v>9758376.6699999999</v>
      </c>
      <c r="AG40" s="405"/>
      <c r="AH40" s="451">
        <v>23561550.120000001</v>
      </c>
      <c r="AI40" s="405"/>
      <c r="AJ40" s="543">
        <f t="shared" si="8"/>
        <v>568678</v>
      </c>
      <c r="AK40" s="405"/>
      <c r="AL40" s="417"/>
      <c r="AM40" s="466"/>
      <c r="AN40" s="384"/>
      <c r="AO40" s="466"/>
      <c r="AP40" s="417"/>
      <c r="AQ40" s="384"/>
      <c r="AR40" s="405"/>
      <c r="AS40" s="404">
        <v>13803173.450000001</v>
      </c>
    </row>
    <row r="41" spans="2:46" s="404" customFormat="1" ht="15.75" customHeight="1" x14ac:dyDescent="0.2">
      <c r="B41" s="410"/>
      <c r="C41" s="426"/>
      <c r="E41" s="580" t="s">
        <v>734</v>
      </c>
      <c r="G41" s="579" t="s">
        <v>735</v>
      </c>
      <c r="H41" s="578"/>
      <c r="J41" s="518">
        <v>3573896</v>
      </c>
      <c r="K41" s="405"/>
      <c r="L41" s="405"/>
      <c r="M41" s="405"/>
      <c r="N41" s="405"/>
      <c r="O41" s="411"/>
      <c r="P41" s="405"/>
      <c r="Q41" s="405"/>
      <c r="R41" s="405"/>
      <c r="S41" s="405"/>
      <c r="T41" s="405"/>
      <c r="U41" s="405"/>
      <c r="V41" s="405"/>
      <c r="W41" s="421"/>
      <c r="X41" s="407"/>
      <c r="Y41" s="405">
        <f t="shared" si="7"/>
        <v>0</v>
      </c>
      <c r="Z41" s="405">
        <f t="shared" si="2"/>
        <v>330851</v>
      </c>
      <c r="AA41" s="405"/>
      <c r="AB41" s="405">
        <v>3243045</v>
      </c>
      <c r="AC41" s="405"/>
      <c r="AD41" s="405"/>
      <c r="AE41" s="405"/>
      <c r="AF41" s="451">
        <v>3183450</v>
      </c>
      <c r="AG41" s="405"/>
      <c r="AH41" s="451">
        <v>3183450</v>
      </c>
      <c r="AI41" s="405"/>
      <c r="AJ41" s="543">
        <f t="shared" si="8"/>
        <v>59595</v>
      </c>
      <c r="AK41" s="405"/>
      <c r="AL41" s="417"/>
      <c r="AM41" s="466"/>
      <c r="AN41" s="384"/>
      <c r="AO41" s="466"/>
      <c r="AP41" s="417"/>
      <c r="AQ41" s="384"/>
      <c r="AR41" s="405"/>
      <c r="AS41" s="404">
        <v>0</v>
      </c>
    </row>
    <row r="42" spans="2:46" s="404" customFormat="1" ht="15.75" customHeight="1" x14ac:dyDescent="0.2">
      <c r="B42" s="410"/>
      <c r="C42" s="426"/>
      <c r="E42" s="580" t="s">
        <v>736</v>
      </c>
      <c r="G42" s="579" t="s">
        <v>737</v>
      </c>
      <c r="H42" s="578"/>
      <c r="J42" s="518">
        <v>33439584</v>
      </c>
      <c r="K42" s="405"/>
      <c r="L42" s="405"/>
      <c r="M42" s="405"/>
      <c r="N42" s="405"/>
      <c r="O42" s="411"/>
      <c r="P42" s="405"/>
      <c r="Q42" s="405"/>
      <c r="R42" s="405"/>
      <c r="S42" s="405"/>
      <c r="T42" s="405"/>
      <c r="U42" s="405"/>
      <c r="V42" s="405"/>
      <c r="W42" s="421"/>
      <c r="X42" s="407"/>
      <c r="Y42" s="405">
        <f t="shared" si="7"/>
        <v>0</v>
      </c>
      <c r="Z42" s="405">
        <f t="shared" si="2"/>
        <v>3475081</v>
      </c>
      <c r="AA42" s="405"/>
      <c r="AB42" s="405">
        <v>29964503</v>
      </c>
      <c r="AC42" s="405"/>
      <c r="AD42" s="405"/>
      <c r="AE42" s="405"/>
      <c r="AF42" s="451">
        <v>29530620</v>
      </c>
      <c r="AG42" s="405"/>
      <c r="AH42" s="451">
        <v>29530620</v>
      </c>
      <c r="AI42" s="405"/>
      <c r="AJ42" s="543">
        <f t="shared" si="8"/>
        <v>433883</v>
      </c>
      <c r="AK42" s="405"/>
      <c r="AL42" s="417"/>
      <c r="AM42" s="466"/>
      <c r="AN42" s="384"/>
      <c r="AO42" s="466"/>
      <c r="AP42" s="417"/>
      <c r="AQ42" s="384"/>
      <c r="AR42" s="405"/>
      <c r="AS42" s="404">
        <v>0</v>
      </c>
    </row>
    <row r="43" spans="2:46" s="404" customFormat="1" ht="15.75" customHeight="1" x14ac:dyDescent="0.2">
      <c r="B43" s="410"/>
      <c r="C43" s="426"/>
      <c r="E43" s="580" t="s">
        <v>738</v>
      </c>
      <c r="G43" s="579" t="s">
        <v>739</v>
      </c>
      <c r="H43" s="578"/>
      <c r="J43" s="518">
        <v>184550486</v>
      </c>
      <c r="K43" s="405"/>
      <c r="L43" s="405"/>
      <c r="M43" s="405"/>
      <c r="N43" s="405"/>
      <c r="O43" s="411"/>
      <c r="P43" s="405"/>
      <c r="Q43" s="405"/>
      <c r="R43" s="405"/>
      <c r="S43" s="405"/>
      <c r="T43" s="405"/>
      <c r="U43" s="405"/>
      <c r="V43" s="405"/>
      <c r="W43" s="421"/>
      <c r="X43" s="407"/>
      <c r="Y43" s="405">
        <f t="shared" si="7"/>
        <v>0</v>
      </c>
      <c r="Z43" s="405">
        <f t="shared" si="2"/>
        <v>184550486</v>
      </c>
      <c r="AA43" s="405"/>
      <c r="AB43" s="405"/>
      <c r="AC43" s="405"/>
      <c r="AD43" s="405"/>
      <c r="AE43" s="405"/>
      <c r="AF43" s="451">
        <v>0</v>
      </c>
      <c r="AG43" s="405"/>
      <c r="AH43" s="451">
        <v>0</v>
      </c>
      <c r="AI43" s="405"/>
      <c r="AJ43" s="543">
        <f t="shared" si="8"/>
        <v>0</v>
      </c>
      <c r="AK43" s="405"/>
      <c r="AL43" s="417"/>
      <c r="AM43" s="466"/>
      <c r="AN43" s="384"/>
      <c r="AO43" s="466"/>
      <c r="AP43" s="417"/>
      <c r="AQ43" s="384"/>
      <c r="AR43" s="405"/>
      <c r="AS43" s="404">
        <v>0</v>
      </c>
    </row>
    <row r="44" spans="2:46" s="404" customFormat="1" ht="15.75" customHeight="1" x14ac:dyDescent="0.2">
      <c r="B44" s="410"/>
      <c r="C44" s="426"/>
      <c r="E44" s="580" t="s">
        <v>740</v>
      </c>
      <c r="G44" s="579" t="s">
        <v>741</v>
      </c>
      <c r="H44" s="578"/>
      <c r="J44" s="518">
        <v>2327931</v>
      </c>
      <c r="K44" s="405"/>
      <c r="L44" s="405"/>
      <c r="M44" s="405"/>
      <c r="N44" s="405"/>
      <c r="O44" s="411"/>
      <c r="P44" s="405"/>
      <c r="Q44" s="405"/>
      <c r="R44" s="405"/>
      <c r="S44" s="405"/>
      <c r="T44" s="405"/>
      <c r="U44" s="405"/>
      <c r="V44" s="405"/>
      <c r="W44" s="421"/>
      <c r="X44" s="407"/>
      <c r="Y44" s="405">
        <f t="shared" si="7"/>
        <v>0</v>
      </c>
      <c r="Z44" s="405">
        <f t="shared" si="2"/>
        <v>456033.65999999992</v>
      </c>
      <c r="AA44" s="405"/>
      <c r="AB44" s="405">
        <v>1871897.34</v>
      </c>
      <c r="AC44" s="405"/>
      <c r="AD44" s="405"/>
      <c r="AE44" s="405"/>
      <c r="AF44" s="451">
        <v>791091.78</v>
      </c>
      <c r="AG44" s="405"/>
      <c r="AH44" s="451">
        <v>1871897.34</v>
      </c>
      <c r="AI44" s="405"/>
      <c r="AJ44" s="543">
        <f t="shared" si="8"/>
        <v>0</v>
      </c>
      <c r="AK44" s="405"/>
      <c r="AL44" s="417"/>
      <c r="AM44" s="466"/>
      <c r="AN44" s="384"/>
      <c r="AO44" s="466"/>
      <c r="AP44" s="417"/>
      <c r="AQ44" s="384"/>
      <c r="AR44" s="405"/>
      <c r="AS44" s="404">
        <v>1080805.56</v>
      </c>
    </row>
    <row r="45" spans="2:46" s="404" customFormat="1" ht="15.75" customHeight="1" x14ac:dyDescent="0.2">
      <c r="B45" s="410"/>
      <c r="C45" s="426"/>
      <c r="E45" s="580" t="s">
        <v>742</v>
      </c>
      <c r="G45" s="579" t="s">
        <v>743</v>
      </c>
      <c r="H45" s="578"/>
      <c r="J45" s="518">
        <v>47856686</v>
      </c>
      <c r="K45" s="405"/>
      <c r="L45" s="405">
        <v>0</v>
      </c>
      <c r="M45" s="405"/>
      <c r="N45" s="405">
        <v>0</v>
      </c>
      <c r="O45" s="411"/>
      <c r="P45" s="405">
        <v>0</v>
      </c>
      <c r="Q45" s="405"/>
      <c r="R45" s="405">
        <v>280796103.39999998</v>
      </c>
      <c r="S45" s="405">
        <v>0</v>
      </c>
      <c r="T45" s="405"/>
      <c r="U45" s="405">
        <v>1407837385.1199999</v>
      </c>
      <c r="V45" s="405"/>
      <c r="W45" s="421">
        <v>0</v>
      </c>
      <c r="X45" s="407">
        <v>0</v>
      </c>
      <c r="Y45" s="405">
        <f t="shared" si="7"/>
        <v>1984134.4799999967</v>
      </c>
      <c r="Z45" s="405">
        <f t="shared" si="2"/>
        <v>0</v>
      </c>
      <c r="AA45" s="405"/>
      <c r="AB45" s="405">
        <v>49840820.479999997</v>
      </c>
      <c r="AC45" s="405"/>
      <c r="AD45" s="405">
        <v>0</v>
      </c>
      <c r="AE45" s="405"/>
      <c r="AF45" s="451">
        <v>21828933.350000001</v>
      </c>
      <c r="AG45" s="405"/>
      <c r="AH45" s="451">
        <v>49204294.479999997</v>
      </c>
      <c r="AI45" s="405"/>
      <c r="AJ45" s="543">
        <f t="shared" si="8"/>
        <v>636526</v>
      </c>
      <c r="AK45" s="405"/>
      <c r="AL45" s="417">
        <f>+AH45/$AH$14</f>
        <v>9.7551784681263031E-3</v>
      </c>
      <c r="AM45" s="466">
        <v>1.4956920255368523E-2</v>
      </c>
      <c r="AN45" s="384">
        <f>+AJ45*-1</f>
        <v>-636526</v>
      </c>
      <c r="AO45" s="466"/>
      <c r="AP45" s="417"/>
      <c r="AQ45" s="384">
        <f>++AF45+AH45</f>
        <v>71033227.829999998</v>
      </c>
      <c r="AR45" s="405"/>
      <c r="AS45" s="404">
        <v>41587386.079999998</v>
      </c>
    </row>
    <row r="46" spans="2:46" s="404" customFormat="1" ht="15.75" customHeight="1" x14ac:dyDescent="0.2">
      <c r="B46" s="410"/>
      <c r="C46" s="410"/>
      <c r="E46" s="410"/>
      <c r="H46" s="408"/>
      <c r="J46" s="250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21"/>
      <c r="X46" s="407"/>
      <c r="Y46" s="250"/>
      <c r="Z46" s="250"/>
      <c r="AA46" s="405"/>
      <c r="AB46" s="250"/>
      <c r="AC46" s="405"/>
      <c r="AD46" s="405"/>
      <c r="AE46" s="405"/>
      <c r="AF46" s="405"/>
      <c r="AG46" s="405"/>
      <c r="AH46" s="250"/>
      <c r="AI46" s="405"/>
      <c r="AJ46" s="543"/>
      <c r="AK46" s="405"/>
      <c r="AL46" s="417">
        <f>+AH46/$AH$14</f>
        <v>0</v>
      </c>
      <c r="AM46" s="466">
        <v>0</v>
      </c>
      <c r="AN46" s="384">
        <f>+AJ46*-1</f>
        <v>0</v>
      </c>
      <c r="AO46" s="466"/>
      <c r="AP46" s="414"/>
      <c r="AQ46" s="384">
        <f>++AF46+AH46</f>
        <v>0</v>
      </c>
      <c r="AR46" s="405"/>
    </row>
    <row r="47" spans="2:46" s="411" customFormat="1" ht="15.75" customHeight="1" x14ac:dyDescent="0.2">
      <c r="B47" s="426" t="s">
        <v>72</v>
      </c>
      <c r="C47" s="426"/>
      <c r="E47" s="425"/>
      <c r="J47" s="415">
        <f>SUM(J48:J83)</f>
        <v>83345925.670000002</v>
      </c>
      <c r="K47" s="415"/>
      <c r="L47" s="415">
        <f t="shared" ref="L47:X47" si="9">SUM(L48:L81)</f>
        <v>0</v>
      </c>
      <c r="M47" s="415">
        <f t="shared" si="9"/>
        <v>0</v>
      </c>
      <c r="N47" s="415">
        <f t="shared" si="9"/>
        <v>0</v>
      </c>
      <c r="O47" s="415">
        <f t="shared" si="9"/>
        <v>0</v>
      </c>
      <c r="P47" s="415">
        <f t="shared" si="9"/>
        <v>0</v>
      </c>
      <c r="Q47" s="415">
        <f t="shared" si="9"/>
        <v>0</v>
      </c>
      <c r="R47" s="415">
        <f t="shared" si="9"/>
        <v>20163141.82</v>
      </c>
      <c r="S47" s="415">
        <f t="shared" si="9"/>
        <v>0</v>
      </c>
      <c r="T47" s="415">
        <f t="shared" si="9"/>
        <v>0</v>
      </c>
      <c r="U47" s="415">
        <f t="shared" si="9"/>
        <v>42917266.300000019</v>
      </c>
      <c r="V47" s="415">
        <f t="shared" si="9"/>
        <v>0</v>
      </c>
      <c r="W47" s="415">
        <f t="shared" si="9"/>
        <v>0</v>
      </c>
      <c r="X47" s="415">
        <f t="shared" si="9"/>
        <v>0</v>
      </c>
      <c r="Y47" s="415">
        <f>SUM(Y48:Y83)</f>
        <v>8237872.5499999998</v>
      </c>
      <c r="Z47" s="415">
        <f>SUM(Z48:Z83)</f>
        <v>14447395.840000002</v>
      </c>
      <c r="AA47" s="415"/>
      <c r="AB47" s="415">
        <f>SUM(AB48:AB83)</f>
        <v>77136402.38000001</v>
      </c>
      <c r="AC47" s="415"/>
      <c r="AD47" s="415">
        <f>SUM(AD48:AD81)</f>
        <v>0</v>
      </c>
      <c r="AE47" s="415"/>
      <c r="AF47" s="415">
        <f>SUM(AF48:AF83)</f>
        <v>26834599.130000003</v>
      </c>
      <c r="AG47" s="415"/>
      <c r="AH47" s="415">
        <f>SUM(AH48:AH83)</f>
        <v>77136402.38000001</v>
      </c>
      <c r="AI47" s="415"/>
      <c r="AJ47" s="415">
        <f>SUM(AJ48:AJ83)</f>
        <v>0</v>
      </c>
      <c r="AK47" s="415"/>
      <c r="AL47" s="385">
        <v>99324632.599999964</v>
      </c>
      <c r="AM47" s="466">
        <f>SUM(AM16:AM46)</f>
        <v>1</v>
      </c>
      <c r="AN47" s="385"/>
      <c r="AO47" s="421"/>
      <c r="AQ47" s="415"/>
      <c r="AR47" s="415"/>
      <c r="AS47" s="411">
        <v>33582421</v>
      </c>
      <c r="AT47" s="415">
        <f>+AS47-AH47</f>
        <v>-43553981.38000001</v>
      </c>
    </row>
    <row r="48" spans="2:46" s="411" customFormat="1" ht="13.5" customHeight="1" x14ac:dyDescent="0.2">
      <c r="B48" s="426"/>
      <c r="C48" s="426"/>
      <c r="E48" s="425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21"/>
      <c r="X48" s="421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542"/>
      <c r="AK48" s="415"/>
      <c r="AL48" s="414"/>
      <c r="AM48" s="466"/>
      <c r="AN48" s="385"/>
      <c r="AO48" s="422"/>
      <c r="AQ48" s="415"/>
      <c r="AR48" s="404"/>
    </row>
    <row r="49" spans="2:49" s="404" customFormat="1" ht="15.75" customHeight="1" x14ac:dyDescent="0.2">
      <c r="B49" s="410"/>
      <c r="C49" s="410"/>
      <c r="E49" s="420" t="s">
        <v>744</v>
      </c>
      <c r="G49" s="419" t="s">
        <v>745</v>
      </c>
      <c r="H49" s="408"/>
      <c r="J49" s="250">
        <v>7963852.6100000003</v>
      </c>
      <c r="K49" s="405"/>
      <c r="L49" s="405">
        <v>0</v>
      </c>
      <c r="M49" s="405"/>
      <c r="N49" s="405">
        <v>0</v>
      </c>
      <c r="O49" s="405"/>
      <c r="P49" s="405">
        <v>0</v>
      </c>
      <c r="Q49" s="405"/>
      <c r="R49" s="405">
        <v>876658.34</v>
      </c>
      <c r="S49" s="405">
        <v>0</v>
      </c>
      <c r="T49" s="405"/>
      <c r="U49" s="405">
        <v>1865968.1</v>
      </c>
      <c r="V49" s="405"/>
      <c r="X49" s="407">
        <v>0</v>
      </c>
      <c r="Y49" s="405">
        <f t="shared" ref="Y49:Y55" si="10">+IF((J49-AB49)&lt;0,AB49-J49,0)</f>
        <v>0</v>
      </c>
      <c r="Z49" s="405">
        <f t="shared" ref="Z49:Z55" si="11">+IF((J49-AB49)&lt;0,0,J49-AB49)</f>
        <v>4259419.16</v>
      </c>
      <c r="AA49" s="405"/>
      <c r="AB49" s="405">
        <v>3704433.45</v>
      </c>
      <c r="AC49" s="405"/>
      <c r="AD49" s="405"/>
      <c r="AE49" s="405"/>
      <c r="AF49" s="451">
        <v>2030707.8</v>
      </c>
      <c r="AG49" s="405"/>
      <c r="AH49" s="451">
        <v>3704433.45</v>
      </c>
      <c r="AI49" s="405"/>
      <c r="AJ49" s="543">
        <f t="shared" ref="AJ49:AJ83" si="12">+AB49-AH49</f>
        <v>0</v>
      </c>
      <c r="AK49" s="405"/>
      <c r="AL49" s="466">
        <f>+AH49/$AL$47</f>
        <v>3.7296221018188809E-2</v>
      </c>
      <c r="AM49" s="466">
        <v>2.7482402587814869E-2</v>
      </c>
      <c r="AN49" s="384">
        <v>-496118.20000000019</v>
      </c>
      <c r="AO49" s="406"/>
      <c r="AP49" s="417"/>
      <c r="AQ49" s="384">
        <f>+AF49+AH49</f>
        <v>5735141.25</v>
      </c>
      <c r="AR49" s="405"/>
      <c r="AS49" s="404">
        <v>602099.21</v>
      </c>
      <c r="AT49" s="384">
        <f t="shared" ref="AT49:AT58" si="13">+AU49-AF49</f>
        <v>-1729758.1300000001</v>
      </c>
      <c r="AU49" s="544">
        <f t="shared" ref="AU49:AU58" si="14">+AV49+AW49</f>
        <v>300949.67</v>
      </c>
      <c r="AV49" s="577">
        <v>59368.49</v>
      </c>
      <c r="AW49" s="577">
        <v>241581.18</v>
      </c>
    </row>
    <row r="50" spans="2:49" s="404" customFormat="1" ht="15.75" customHeight="1" x14ac:dyDescent="0.2">
      <c r="B50" s="410"/>
      <c r="C50" s="410"/>
      <c r="E50" s="420">
        <v>21201</v>
      </c>
      <c r="G50" s="419" t="s">
        <v>950</v>
      </c>
      <c r="H50" s="408"/>
      <c r="J50" s="250">
        <v>0</v>
      </c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X50" s="407"/>
      <c r="Y50" s="405">
        <f t="shared" si="10"/>
        <v>2572.3200000000002</v>
      </c>
      <c r="Z50" s="405">
        <f t="shared" si="11"/>
        <v>0</v>
      </c>
      <c r="AA50" s="405"/>
      <c r="AB50" s="405">
        <v>2572.3200000000002</v>
      </c>
      <c r="AC50" s="405"/>
      <c r="AD50" s="405"/>
      <c r="AE50" s="405"/>
      <c r="AF50" s="451">
        <v>2489.8200000000002</v>
      </c>
      <c r="AG50" s="405"/>
      <c r="AH50" s="451">
        <v>2572.3200000000002</v>
      </c>
      <c r="AI50" s="405"/>
      <c r="AJ50" s="543">
        <f t="shared" si="12"/>
        <v>0</v>
      </c>
      <c r="AK50" s="405"/>
      <c r="AL50" s="466"/>
      <c r="AM50" s="466"/>
      <c r="AN50" s="384"/>
      <c r="AO50" s="406"/>
      <c r="AP50" s="417"/>
      <c r="AQ50" s="384"/>
      <c r="AR50" s="405"/>
      <c r="AS50" s="404">
        <v>82.5</v>
      </c>
      <c r="AT50" s="384">
        <f t="shared" si="13"/>
        <v>-2407.3200000000002</v>
      </c>
      <c r="AU50" s="544">
        <f t="shared" si="14"/>
        <v>82.5</v>
      </c>
      <c r="AV50" s="577">
        <v>82.5</v>
      </c>
      <c r="AW50" s="577">
        <v>0</v>
      </c>
    </row>
    <row r="51" spans="2:49" s="404" customFormat="1" ht="15.75" customHeight="1" x14ac:dyDescent="0.2">
      <c r="B51" s="410"/>
      <c r="C51" s="410"/>
      <c r="E51" s="420" t="s">
        <v>746</v>
      </c>
      <c r="G51" s="419" t="s">
        <v>747</v>
      </c>
      <c r="H51" s="408"/>
      <c r="J51" s="250">
        <v>4324876</v>
      </c>
      <c r="K51" s="405"/>
      <c r="L51" s="405">
        <v>0</v>
      </c>
      <c r="M51" s="405"/>
      <c r="N51" s="405">
        <v>0</v>
      </c>
      <c r="O51" s="405"/>
      <c r="P51" s="405">
        <v>0</v>
      </c>
      <c r="Q51" s="405"/>
      <c r="R51" s="405">
        <v>876658.34</v>
      </c>
      <c r="S51" s="405">
        <v>0</v>
      </c>
      <c r="T51" s="405"/>
      <c r="U51" s="405">
        <v>1865968.1</v>
      </c>
      <c r="V51" s="405"/>
      <c r="X51" s="407">
        <v>0</v>
      </c>
      <c r="Y51" s="405">
        <f t="shared" si="10"/>
        <v>1318428.2199999997</v>
      </c>
      <c r="Z51" s="405">
        <f t="shared" si="11"/>
        <v>0</v>
      </c>
      <c r="AA51" s="405"/>
      <c r="AB51" s="405">
        <v>5643304.2199999997</v>
      </c>
      <c r="AC51" s="405"/>
      <c r="AD51" s="405"/>
      <c r="AE51" s="405"/>
      <c r="AF51" s="451">
        <v>3723811.93</v>
      </c>
      <c r="AG51" s="405"/>
      <c r="AH51" s="451">
        <v>5643304.2199999997</v>
      </c>
      <c r="AI51" s="405"/>
      <c r="AJ51" s="543">
        <f t="shared" si="12"/>
        <v>0</v>
      </c>
      <c r="AK51" s="405"/>
      <c r="AL51" s="466">
        <f t="shared" ref="AL51:AL57" si="15">+AH51/$AL$47</f>
        <v>5.681676410248309E-2</v>
      </c>
      <c r="AM51" s="466">
        <v>5.6990629130200306E-3</v>
      </c>
      <c r="AN51" s="384">
        <v>101974.87999999989</v>
      </c>
      <c r="AO51" s="406"/>
      <c r="AP51" s="417"/>
      <c r="AQ51" s="384">
        <f t="shared" ref="AQ51:AQ57" si="16">+AF51+AH51</f>
        <v>9367116.1500000004</v>
      </c>
      <c r="AR51" s="405"/>
      <c r="AS51" s="404">
        <v>1711775.8800000001</v>
      </c>
      <c r="AT51" s="384">
        <f t="shared" si="13"/>
        <v>-3215712.93</v>
      </c>
      <c r="AU51" s="544">
        <f t="shared" si="14"/>
        <v>508099</v>
      </c>
      <c r="AV51" s="577">
        <v>392916.57</v>
      </c>
      <c r="AW51" s="577">
        <v>115182.43</v>
      </c>
    </row>
    <row r="52" spans="2:49" s="404" customFormat="1" ht="15.75" customHeight="1" x14ac:dyDescent="0.2">
      <c r="B52" s="410"/>
      <c r="C52" s="410"/>
      <c r="E52" s="420" t="s">
        <v>748</v>
      </c>
      <c r="G52" s="419" t="s">
        <v>749</v>
      </c>
      <c r="H52" s="408"/>
      <c r="J52" s="250">
        <v>6699319.1200000001</v>
      </c>
      <c r="K52" s="405"/>
      <c r="L52" s="405">
        <v>0</v>
      </c>
      <c r="M52" s="405"/>
      <c r="N52" s="405">
        <v>0</v>
      </c>
      <c r="O52" s="405"/>
      <c r="P52" s="405">
        <v>0</v>
      </c>
      <c r="Q52" s="405"/>
      <c r="R52" s="405">
        <v>876658.34</v>
      </c>
      <c r="S52" s="405">
        <v>0</v>
      </c>
      <c r="T52" s="405"/>
      <c r="U52" s="405">
        <v>1865968.1</v>
      </c>
      <c r="V52" s="405"/>
      <c r="X52" s="407">
        <v>0</v>
      </c>
      <c r="Y52" s="405">
        <f t="shared" si="10"/>
        <v>0</v>
      </c>
      <c r="Z52" s="405">
        <f t="shared" si="11"/>
        <v>3271946.2</v>
      </c>
      <c r="AA52" s="405"/>
      <c r="AB52" s="405">
        <v>3427372.92</v>
      </c>
      <c r="AC52" s="405"/>
      <c r="AD52" s="405"/>
      <c r="AE52" s="405"/>
      <c r="AF52" s="451">
        <v>2326946.5499999998</v>
      </c>
      <c r="AG52" s="405"/>
      <c r="AH52" s="451">
        <v>3427372.92</v>
      </c>
      <c r="AI52" s="405"/>
      <c r="AJ52" s="543">
        <f t="shared" si="12"/>
        <v>0</v>
      </c>
      <c r="AK52" s="405"/>
      <c r="AL52" s="466">
        <f t="shared" si="15"/>
        <v>3.4506776720762834E-2</v>
      </c>
      <c r="AM52" s="466">
        <v>2.9713769210559366E-2</v>
      </c>
      <c r="AN52" s="384">
        <v>-632132.46999999974</v>
      </c>
      <c r="AO52" s="406"/>
      <c r="AP52" s="417"/>
      <c r="AQ52" s="384">
        <f t="shared" si="16"/>
        <v>5754319.4699999997</v>
      </c>
      <c r="AR52" s="405"/>
      <c r="AS52" s="404">
        <v>819414.62</v>
      </c>
      <c r="AT52" s="384">
        <f t="shared" si="13"/>
        <v>-1715266.8299999998</v>
      </c>
      <c r="AU52" s="544">
        <f t="shared" si="14"/>
        <v>611679.72</v>
      </c>
      <c r="AV52" s="577">
        <v>546499.74</v>
      </c>
      <c r="AW52" s="577">
        <v>65179.98</v>
      </c>
    </row>
    <row r="53" spans="2:49" s="404" customFormat="1" ht="15.75" customHeight="1" x14ac:dyDescent="0.2">
      <c r="B53" s="410"/>
      <c r="C53" s="410"/>
      <c r="E53" s="420" t="s">
        <v>750</v>
      </c>
      <c r="G53" s="419" t="s">
        <v>840</v>
      </c>
      <c r="H53" s="408"/>
      <c r="J53" s="250">
        <v>5297053</v>
      </c>
      <c r="K53" s="405"/>
      <c r="L53" s="405">
        <v>0</v>
      </c>
      <c r="M53" s="405"/>
      <c r="N53" s="405">
        <v>0</v>
      </c>
      <c r="O53" s="405"/>
      <c r="P53" s="405">
        <v>0</v>
      </c>
      <c r="Q53" s="405"/>
      <c r="R53" s="405">
        <v>876658.34</v>
      </c>
      <c r="S53" s="405">
        <v>0</v>
      </c>
      <c r="T53" s="405"/>
      <c r="U53" s="405">
        <v>1865968.1</v>
      </c>
      <c r="V53" s="405"/>
      <c r="X53" s="407">
        <v>0</v>
      </c>
      <c r="Y53" s="405">
        <f t="shared" si="10"/>
        <v>0</v>
      </c>
      <c r="Z53" s="405">
        <f t="shared" si="11"/>
        <v>2314260.4900000002</v>
      </c>
      <c r="AA53" s="405"/>
      <c r="AB53" s="405">
        <v>2982792.51</v>
      </c>
      <c r="AC53" s="405"/>
      <c r="AD53" s="405"/>
      <c r="AE53" s="405"/>
      <c r="AF53" s="451">
        <v>1636507.71</v>
      </c>
      <c r="AG53" s="405"/>
      <c r="AH53" s="451">
        <v>2982792.51</v>
      </c>
      <c r="AI53" s="405"/>
      <c r="AJ53" s="543">
        <f t="shared" si="12"/>
        <v>0</v>
      </c>
      <c r="AK53" s="405"/>
      <c r="AL53" s="466">
        <f t="shared" si="15"/>
        <v>3.003074294784757E-2</v>
      </c>
      <c r="AM53" s="466">
        <v>2.1346833454081164E-2</v>
      </c>
      <c r="AN53" s="384">
        <v>-1649391.6899999995</v>
      </c>
      <c r="AO53" s="406"/>
      <c r="AP53" s="417"/>
      <c r="AQ53" s="384">
        <f t="shared" si="16"/>
        <v>4619300.22</v>
      </c>
      <c r="AR53" s="405"/>
      <c r="AS53" s="404">
        <v>461721</v>
      </c>
      <c r="AT53" s="384">
        <f t="shared" si="13"/>
        <v>-1348594.6199999999</v>
      </c>
      <c r="AU53" s="544">
        <f t="shared" si="14"/>
        <v>287913.09000000003</v>
      </c>
      <c r="AV53" s="577">
        <v>287913.09000000003</v>
      </c>
      <c r="AW53" s="577">
        <v>0</v>
      </c>
    </row>
    <row r="54" spans="2:49" s="404" customFormat="1" ht="15.75" customHeight="1" x14ac:dyDescent="0.2">
      <c r="B54" s="410"/>
      <c r="C54" s="410"/>
      <c r="E54" s="420" t="s">
        <v>751</v>
      </c>
      <c r="G54" s="419" t="s">
        <v>752</v>
      </c>
      <c r="H54" s="408"/>
      <c r="J54" s="250">
        <v>3030544</v>
      </c>
      <c r="K54" s="405"/>
      <c r="L54" s="405">
        <v>0</v>
      </c>
      <c r="M54" s="405"/>
      <c r="N54" s="405">
        <v>0</v>
      </c>
      <c r="O54" s="405"/>
      <c r="P54" s="405">
        <v>0</v>
      </c>
      <c r="Q54" s="405"/>
      <c r="R54" s="405">
        <v>876658.34</v>
      </c>
      <c r="S54" s="405">
        <v>0</v>
      </c>
      <c r="T54" s="405"/>
      <c r="U54" s="405">
        <v>1865968.1</v>
      </c>
      <c r="V54" s="405"/>
      <c r="X54" s="407">
        <v>0</v>
      </c>
      <c r="Y54" s="405">
        <f t="shared" si="10"/>
        <v>0</v>
      </c>
      <c r="Z54" s="405">
        <f t="shared" si="11"/>
        <v>1630717.78</v>
      </c>
      <c r="AA54" s="405"/>
      <c r="AB54" s="405">
        <v>1399826.22</v>
      </c>
      <c r="AC54" s="405"/>
      <c r="AD54" s="405"/>
      <c r="AE54" s="405"/>
      <c r="AF54" s="451">
        <v>1399826.22</v>
      </c>
      <c r="AG54" s="405"/>
      <c r="AH54" s="451">
        <v>1399826.22</v>
      </c>
      <c r="AI54" s="405"/>
      <c r="AJ54" s="543">
        <f t="shared" si="12"/>
        <v>0</v>
      </c>
      <c r="AK54" s="405"/>
      <c r="AL54" s="466">
        <f t="shared" si="15"/>
        <v>1.4093444731251898E-2</v>
      </c>
      <c r="AM54" s="466">
        <v>3.1065246447234292E-2</v>
      </c>
      <c r="AN54" s="384">
        <v>390599.41999999946</v>
      </c>
      <c r="AO54" s="406"/>
      <c r="AP54" s="417"/>
      <c r="AQ54" s="384">
        <f t="shared" si="16"/>
        <v>2799652.44</v>
      </c>
      <c r="AR54" s="405"/>
      <c r="AS54" s="404">
        <v>0</v>
      </c>
      <c r="AT54" s="384">
        <f t="shared" si="13"/>
        <v>-1399826.22</v>
      </c>
      <c r="AU54" s="544">
        <f t="shared" si="14"/>
        <v>0</v>
      </c>
      <c r="AV54" s="577">
        <v>0</v>
      </c>
      <c r="AW54" s="577">
        <v>0</v>
      </c>
    </row>
    <row r="55" spans="2:49" s="404" customFormat="1" ht="15.75" customHeight="1" x14ac:dyDescent="0.2">
      <c r="B55" s="410"/>
      <c r="C55" s="410"/>
      <c r="E55" s="420" t="s">
        <v>753</v>
      </c>
      <c r="G55" s="419" t="s">
        <v>841</v>
      </c>
      <c r="H55" s="408"/>
      <c r="J55" s="250">
        <v>50000</v>
      </c>
      <c r="K55" s="405"/>
      <c r="L55" s="405">
        <v>0</v>
      </c>
      <c r="M55" s="405"/>
      <c r="N55" s="405">
        <v>0</v>
      </c>
      <c r="O55" s="405"/>
      <c r="P55" s="405">
        <v>0</v>
      </c>
      <c r="Q55" s="405"/>
      <c r="R55" s="405">
        <v>876658.34</v>
      </c>
      <c r="S55" s="405">
        <v>0</v>
      </c>
      <c r="T55" s="405"/>
      <c r="U55" s="405">
        <v>1865968.1</v>
      </c>
      <c r="V55" s="405"/>
      <c r="X55" s="407">
        <v>0</v>
      </c>
      <c r="Y55" s="405">
        <f t="shared" si="10"/>
        <v>0</v>
      </c>
      <c r="Z55" s="405">
        <f t="shared" si="11"/>
        <v>50000</v>
      </c>
      <c r="AA55" s="405"/>
      <c r="AB55" s="405"/>
      <c r="AC55" s="405"/>
      <c r="AD55" s="405"/>
      <c r="AE55" s="405"/>
      <c r="AF55" s="451">
        <v>0</v>
      </c>
      <c r="AG55" s="405"/>
      <c r="AH55" s="451">
        <v>0</v>
      </c>
      <c r="AI55" s="405"/>
      <c r="AJ55" s="543">
        <f t="shared" si="12"/>
        <v>0</v>
      </c>
      <c r="AK55" s="405"/>
      <c r="AL55" s="466">
        <f t="shared" si="15"/>
        <v>0</v>
      </c>
      <c r="AM55" s="466">
        <v>1.3067627093342004E-2</v>
      </c>
      <c r="AN55" s="384">
        <v>284322.37999999989</v>
      </c>
      <c r="AO55" s="406"/>
      <c r="AP55" s="417"/>
      <c r="AQ55" s="384">
        <f t="shared" si="16"/>
        <v>0</v>
      </c>
      <c r="AR55" s="405"/>
      <c r="AS55" s="404">
        <v>0</v>
      </c>
      <c r="AT55" s="384">
        <f t="shared" si="13"/>
        <v>0</v>
      </c>
      <c r="AU55" s="544">
        <f t="shared" si="14"/>
        <v>0</v>
      </c>
      <c r="AV55" s="577">
        <v>0</v>
      </c>
      <c r="AW55" s="577">
        <v>0</v>
      </c>
    </row>
    <row r="56" spans="2:49" s="404" customFormat="1" ht="15.75" customHeight="1" x14ac:dyDescent="0.2">
      <c r="B56" s="410"/>
      <c r="C56" s="410"/>
      <c r="E56" s="580" t="s">
        <v>754</v>
      </c>
      <c r="G56" s="579" t="s">
        <v>755</v>
      </c>
      <c r="H56" s="578"/>
      <c r="J56" s="518">
        <v>46605216.810000002</v>
      </c>
      <c r="K56" s="405"/>
      <c r="L56" s="405">
        <v>0</v>
      </c>
      <c r="M56" s="405"/>
      <c r="N56" s="405">
        <v>0</v>
      </c>
      <c r="O56" s="405"/>
      <c r="P56" s="405">
        <v>0</v>
      </c>
      <c r="Q56" s="405"/>
      <c r="R56" s="405">
        <v>876658.34</v>
      </c>
      <c r="S56" s="405">
        <v>0</v>
      </c>
      <c r="T56" s="405"/>
      <c r="U56" s="405">
        <v>1865968.1</v>
      </c>
      <c r="V56" s="405"/>
      <c r="X56" s="407">
        <v>0</v>
      </c>
      <c r="Y56" s="405">
        <f>4893260.01</f>
        <v>4893260.01</v>
      </c>
      <c r="Z56" s="405">
        <v>13541.99</v>
      </c>
      <c r="AA56" s="405"/>
      <c r="AB56" s="405">
        <f>+J56+Y56-Z56</f>
        <v>51484934.829999998</v>
      </c>
      <c r="AC56" s="405"/>
      <c r="AD56" s="405"/>
      <c r="AE56" s="405"/>
      <c r="AF56" s="451">
        <f>10473192.98-13541.99</f>
        <v>10459650.99</v>
      </c>
      <c r="AG56" s="405"/>
      <c r="AH56" s="451">
        <f>51498476.82-13541.99</f>
        <v>51484934.829999998</v>
      </c>
      <c r="AI56" s="405"/>
      <c r="AJ56" s="543">
        <f t="shared" si="12"/>
        <v>0</v>
      </c>
      <c r="AK56" s="405"/>
      <c r="AL56" s="466">
        <f t="shared" si="15"/>
        <v>0.5183501160013354</v>
      </c>
      <c r="AM56" s="466">
        <v>8.7591564874310977E-5</v>
      </c>
      <c r="AN56" s="384">
        <v>1923</v>
      </c>
      <c r="AO56" s="406"/>
      <c r="AP56" s="417"/>
      <c r="AQ56" s="384">
        <f t="shared" si="16"/>
        <v>61944585.82</v>
      </c>
      <c r="AR56" s="405"/>
      <c r="AS56" s="404">
        <v>27906726.459999997</v>
      </c>
      <c r="AT56" s="384">
        <f t="shared" si="13"/>
        <v>-4576597.2300000004</v>
      </c>
      <c r="AU56" s="544">
        <f t="shared" si="14"/>
        <v>5883053.7599999998</v>
      </c>
      <c r="AV56" s="583">
        <v>3645756.59</v>
      </c>
      <c r="AW56" s="583">
        <v>2237297.17</v>
      </c>
    </row>
    <row r="57" spans="2:49" s="404" customFormat="1" ht="15.75" customHeight="1" x14ac:dyDescent="0.2">
      <c r="B57" s="410"/>
      <c r="C57" s="410"/>
      <c r="E57" s="580" t="s">
        <v>756</v>
      </c>
      <c r="G57" s="579" t="s">
        <v>842</v>
      </c>
      <c r="H57" s="578"/>
      <c r="J57" s="518">
        <v>475653</v>
      </c>
      <c r="K57" s="405"/>
      <c r="L57" s="405">
        <v>0</v>
      </c>
      <c r="M57" s="405"/>
      <c r="N57" s="405">
        <v>0</v>
      </c>
      <c r="O57" s="405"/>
      <c r="P57" s="405">
        <v>0</v>
      </c>
      <c r="Q57" s="405"/>
      <c r="R57" s="405">
        <v>876658.34</v>
      </c>
      <c r="S57" s="405">
        <v>0</v>
      </c>
      <c r="T57" s="405"/>
      <c r="U57" s="405">
        <v>1865968.1</v>
      </c>
      <c r="V57" s="405"/>
      <c r="X57" s="407">
        <v>0</v>
      </c>
      <c r="Y57" s="405">
        <f t="shared" ref="Y57:Y83" si="17">+IF((J57-AB57)&lt;0,AB57-J57,0)</f>
        <v>0</v>
      </c>
      <c r="Z57" s="405">
        <f t="shared" ref="Z57:Z83" si="18">+IF((J57-AB57)&lt;0,0,J57-AB57)</f>
        <v>42277.5</v>
      </c>
      <c r="AA57" s="405"/>
      <c r="AB57" s="405">
        <v>433375.5</v>
      </c>
      <c r="AC57" s="405"/>
      <c r="AD57" s="405"/>
      <c r="AE57" s="405"/>
      <c r="AF57" s="451">
        <v>344210.55</v>
      </c>
      <c r="AG57" s="405"/>
      <c r="AH57" s="451">
        <v>433375.5</v>
      </c>
      <c r="AI57" s="405"/>
      <c r="AJ57" s="543">
        <f t="shared" si="12"/>
        <v>0</v>
      </c>
      <c r="AK57" s="405"/>
      <c r="AL57" s="466">
        <f t="shared" si="15"/>
        <v>4.3632227842743633E-3</v>
      </c>
      <c r="AM57" s="466">
        <v>0.28678710068543473</v>
      </c>
      <c r="AN57" s="384">
        <v>-11709007.329999998</v>
      </c>
      <c r="AO57" s="406"/>
      <c r="AP57" s="417"/>
      <c r="AQ57" s="384">
        <f t="shared" si="16"/>
        <v>777586.05</v>
      </c>
      <c r="AR57" s="405"/>
      <c r="AS57" s="404">
        <v>62921.47</v>
      </c>
      <c r="AT57" s="384">
        <f t="shared" si="13"/>
        <v>-318620.25</v>
      </c>
      <c r="AU57" s="544">
        <f t="shared" si="14"/>
        <v>25590.3</v>
      </c>
      <c r="AV57" s="583">
        <v>19571.73</v>
      </c>
      <c r="AW57" s="583">
        <v>6018.57</v>
      </c>
    </row>
    <row r="58" spans="2:49" s="404" customFormat="1" ht="15.75" customHeight="1" x14ac:dyDescent="0.2">
      <c r="B58" s="410"/>
      <c r="C58" s="410"/>
      <c r="E58" s="420">
        <v>23401</v>
      </c>
      <c r="G58" s="419" t="s">
        <v>951</v>
      </c>
      <c r="H58" s="408"/>
      <c r="J58" s="250">
        <v>0</v>
      </c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X58" s="407"/>
      <c r="Y58" s="405">
        <f t="shared" si="17"/>
        <v>3262.5</v>
      </c>
      <c r="Z58" s="405">
        <f t="shared" si="18"/>
        <v>0</v>
      </c>
      <c r="AA58" s="405"/>
      <c r="AB58" s="405">
        <v>3262.5</v>
      </c>
      <c r="AC58" s="405"/>
      <c r="AD58" s="405"/>
      <c r="AE58" s="405"/>
      <c r="AF58" s="451">
        <v>0</v>
      </c>
      <c r="AG58" s="405"/>
      <c r="AH58" s="451">
        <v>3262.5</v>
      </c>
      <c r="AI58" s="405"/>
      <c r="AJ58" s="543">
        <f t="shared" si="12"/>
        <v>0</v>
      </c>
      <c r="AK58" s="405"/>
      <c r="AL58" s="466"/>
      <c r="AM58" s="466"/>
      <c r="AN58" s="384"/>
      <c r="AO58" s="406"/>
      <c r="AP58" s="417"/>
      <c r="AQ58" s="384"/>
      <c r="AR58" s="405"/>
      <c r="AS58" s="404">
        <v>3262.5</v>
      </c>
      <c r="AT58" s="384">
        <f t="shared" si="13"/>
        <v>3262.5</v>
      </c>
      <c r="AU58" s="544">
        <f t="shared" si="14"/>
        <v>3262.5</v>
      </c>
      <c r="AV58" s="577">
        <v>3262.5</v>
      </c>
      <c r="AW58" s="577">
        <v>0</v>
      </c>
    </row>
    <row r="59" spans="2:49" s="404" customFormat="1" ht="15.75" customHeight="1" x14ac:dyDescent="0.2">
      <c r="B59" s="410"/>
      <c r="C59" s="410"/>
      <c r="E59" s="420">
        <v>23701</v>
      </c>
      <c r="G59" s="419" t="s">
        <v>1001</v>
      </c>
      <c r="H59" s="408"/>
      <c r="J59" s="250">
        <v>0</v>
      </c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X59" s="407"/>
      <c r="Y59" s="405">
        <f t="shared" si="17"/>
        <v>31788.87</v>
      </c>
      <c r="Z59" s="405">
        <f t="shared" si="18"/>
        <v>0</v>
      </c>
      <c r="AA59" s="405"/>
      <c r="AB59" s="405">
        <v>31788.87</v>
      </c>
      <c r="AC59" s="405"/>
      <c r="AD59" s="405"/>
      <c r="AE59" s="405"/>
      <c r="AF59" s="451">
        <v>31788.87</v>
      </c>
      <c r="AG59" s="405"/>
      <c r="AH59" s="451">
        <v>31788.87</v>
      </c>
      <c r="AI59" s="405"/>
      <c r="AJ59" s="543">
        <f t="shared" si="12"/>
        <v>0</v>
      </c>
      <c r="AK59" s="405"/>
      <c r="AL59" s="466"/>
      <c r="AM59" s="466"/>
      <c r="AN59" s="384"/>
      <c r="AO59" s="406"/>
      <c r="AP59" s="417"/>
      <c r="AQ59" s="384"/>
      <c r="AR59" s="405"/>
      <c r="AT59" s="384"/>
      <c r="AU59" s="544"/>
      <c r="AV59" s="577"/>
      <c r="AW59" s="577"/>
    </row>
    <row r="60" spans="2:49" s="404" customFormat="1" ht="15.75" customHeight="1" x14ac:dyDescent="0.2">
      <c r="B60" s="410"/>
      <c r="C60" s="410"/>
      <c r="E60" s="420" t="s">
        <v>757</v>
      </c>
      <c r="G60" s="419" t="s">
        <v>843</v>
      </c>
      <c r="H60" s="408"/>
      <c r="J60" s="250">
        <v>25600</v>
      </c>
      <c r="K60" s="405"/>
      <c r="L60" s="405">
        <v>0</v>
      </c>
      <c r="M60" s="405"/>
      <c r="N60" s="405">
        <v>0</v>
      </c>
      <c r="O60" s="405"/>
      <c r="P60" s="405">
        <v>0</v>
      </c>
      <c r="Q60" s="405"/>
      <c r="R60" s="405">
        <v>876658.34</v>
      </c>
      <c r="S60" s="405">
        <v>0</v>
      </c>
      <c r="T60" s="405"/>
      <c r="U60" s="405">
        <v>1865968.1</v>
      </c>
      <c r="V60" s="405"/>
      <c r="X60" s="407">
        <v>0</v>
      </c>
      <c r="Y60" s="405">
        <f t="shared" si="17"/>
        <v>0</v>
      </c>
      <c r="Z60" s="405">
        <f t="shared" si="18"/>
        <v>24031.78</v>
      </c>
      <c r="AA60" s="405"/>
      <c r="AB60" s="405">
        <v>1568.22</v>
      </c>
      <c r="AC60" s="405"/>
      <c r="AD60" s="405"/>
      <c r="AE60" s="405"/>
      <c r="AF60" s="451">
        <v>551.9</v>
      </c>
      <c r="AG60" s="405"/>
      <c r="AH60" s="451">
        <v>1568.22</v>
      </c>
      <c r="AI60" s="405"/>
      <c r="AJ60" s="543">
        <f t="shared" si="12"/>
        <v>0</v>
      </c>
      <c r="AK60" s="405"/>
      <c r="AL60" s="466">
        <f>+AH60/$AL$47</f>
        <v>1.5788832628412871E-5</v>
      </c>
      <c r="AM60" s="466">
        <v>6.0699383850527347E-4</v>
      </c>
      <c r="AN60" s="384">
        <v>-402035.89</v>
      </c>
      <c r="AO60" s="406"/>
      <c r="AP60" s="417"/>
      <c r="AQ60" s="384">
        <f>+AF60+AH60</f>
        <v>2120.12</v>
      </c>
      <c r="AR60" s="405"/>
      <c r="AS60" s="404">
        <v>1016.32</v>
      </c>
      <c r="AT60" s="384">
        <f>+AU60-AF60</f>
        <v>464.42000000000007</v>
      </c>
      <c r="AU60" s="544">
        <f>+AV60+AW60</f>
        <v>1016.32</v>
      </c>
      <c r="AV60" s="577">
        <v>1016.32</v>
      </c>
      <c r="AW60" s="577">
        <v>0</v>
      </c>
    </row>
    <row r="61" spans="2:49" s="404" customFormat="1" ht="15.75" customHeight="1" x14ac:dyDescent="0.2">
      <c r="B61" s="410"/>
      <c r="C61" s="410"/>
      <c r="E61" s="420">
        <v>24201</v>
      </c>
      <c r="G61" s="419" t="s">
        <v>1000</v>
      </c>
      <c r="H61" s="408"/>
      <c r="J61" s="250">
        <v>0</v>
      </c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X61" s="407"/>
      <c r="Y61" s="405">
        <f t="shared" si="17"/>
        <v>2767.11</v>
      </c>
      <c r="Z61" s="405">
        <f t="shared" si="18"/>
        <v>0</v>
      </c>
      <c r="AA61" s="405"/>
      <c r="AB61" s="405">
        <v>2767.11</v>
      </c>
      <c r="AC61" s="405"/>
      <c r="AD61" s="405"/>
      <c r="AE61" s="405"/>
      <c r="AF61" s="451">
        <v>2767.11</v>
      </c>
      <c r="AG61" s="405"/>
      <c r="AH61" s="451">
        <v>2767.11</v>
      </c>
      <c r="AI61" s="405"/>
      <c r="AJ61" s="543">
        <f t="shared" si="12"/>
        <v>0</v>
      </c>
      <c r="AK61" s="405"/>
      <c r="AL61" s="466"/>
      <c r="AM61" s="466"/>
      <c r="AN61" s="384"/>
      <c r="AO61" s="406"/>
      <c r="AP61" s="417"/>
      <c r="AQ61" s="384"/>
      <c r="AR61" s="405"/>
      <c r="AT61" s="384"/>
      <c r="AU61" s="544"/>
      <c r="AV61" s="577"/>
      <c r="AW61" s="577"/>
    </row>
    <row r="62" spans="2:49" s="404" customFormat="1" ht="15.75" customHeight="1" x14ac:dyDescent="0.2">
      <c r="B62" s="410"/>
      <c r="C62" s="410"/>
      <c r="E62" s="420" t="s">
        <v>758</v>
      </c>
      <c r="G62" s="419" t="s">
        <v>844</v>
      </c>
      <c r="H62" s="408"/>
      <c r="J62" s="250">
        <v>150000</v>
      </c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X62" s="407"/>
      <c r="Y62" s="405">
        <f t="shared" si="17"/>
        <v>0</v>
      </c>
      <c r="Z62" s="405">
        <f t="shared" si="18"/>
        <v>117660.06</v>
      </c>
      <c r="AA62" s="405"/>
      <c r="AB62" s="405">
        <v>32339.94</v>
      </c>
      <c r="AC62" s="405"/>
      <c r="AD62" s="405"/>
      <c r="AE62" s="405"/>
      <c r="AF62" s="451">
        <v>4877.3999999999996</v>
      </c>
      <c r="AG62" s="405"/>
      <c r="AH62" s="451">
        <v>32339.94</v>
      </c>
      <c r="AI62" s="405"/>
      <c r="AJ62" s="543">
        <f t="shared" si="12"/>
        <v>0</v>
      </c>
      <c r="AK62" s="405"/>
      <c r="AL62" s="466"/>
      <c r="AM62" s="466"/>
      <c r="AN62" s="384">
        <v>-1631.96</v>
      </c>
      <c r="AO62" s="406"/>
      <c r="AP62" s="417"/>
      <c r="AQ62" s="384">
        <f>+AF62+AH62</f>
        <v>37217.339999999997</v>
      </c>
      <c r="AR62" s="405"/>
      <c r="AS62" s="404">
        <v>27462.54</v>
      </c>
      <c r="AT62" s="384">
        <f>+AU62-AF62</f>
        <v>2337.8000000000002</v>
      </c>
      <c r="AU62" s="544">
        <f>+AV62+AW62</f>
        <v>7215.2</v>
      </c>
      <c r="AV62" s="577">
        <v>7215.2</v>
      </c>
      <c r="AW62" s="577">
        <v>0</v>
      </c>
    </row>
    <row r="63" spans="2:49" s="404" customFormat="1" ht="15.75" customHeight="1" x14ac:dyDescent="0.2">
      <c r="B63" s="410"/>
      <c r="C63" s="410"/>
      <c r="E63" s="420" t="s">
        <v>759</v>
      </c>
      <c r="G63" s="419" t="s">
        <v>845</v>
      </c>
      <c r="H63" s="408"/>
      <c r="J63" s="250">
        <v>16649</v>
      </c>
      <c r="K63" s="405"/>
      <c r="L63" s="405">
        <v>0</v>
      </c>
      <c r="M63" s="405"/>
      <c r="N63" s="405">
        <v>0</v>
      </c>
      <c r="O63" s="405"/>
      <c r="P63" s="405">
        <v>0</v>
      </c>
      <c r="Q63" s="405"/>
      <c r="R63" s="405">
        <v>876658.34</v>
      </c>
      <c r="S63" s="405">
        <v>0</v>
      </c>
      <c r="T63" s="405"/>
      <c r="U63" s="405">
        <v>1865968.1</v>
      </c>
      <c r="V63" s="405"/>
      <c r="X63" s="407">
        <v>0</v>
      </c>
      <c r="Y63" s="405">
        <f t="shared" si="17"/>
        <v>0</v>
      </c>
      <c r="Z63" s="405">
        <f t="shared" si="18"/>
        <v>14978.6</v>
      </c>
      <c r="AA63" s="405"/>
      <c r="AB63" s="405">
        <v>1670.4</v>
      </c>
      <c r="AC63" s="405"/>
      <c r="AD63" s="405"/>
      <c r="AE63" s="405"/>
      <c r="AF63" s="451">
        <v>1670.4</v>
      </c>
      <c r="AG63" s="405"/>
      <c r="AH63" s="451">
        <v>1670.4</v>
      </c>
      <c r="AI63" s="405"/>
      <c r="AJ63" s="543">
        <f t="shared" si="12"/>
        <v>0</v>
      </c>
      <c r="AK63" s="405"/>
      <c r="AL63" s="466">
        <f>+AH63/$AL$47</f>
        <v>1.681758045586771E-5</v>
      </c>
      <c r="AM63" s="466">
        <v>6.4545922116000879E-5</v>
      </c>
      <c r="AN63" s="384">
        <v>-13765.59</v>
      </c>
      <c r="AO63" s="406"/>
      <c r="AP63" s="417"/>
      <c r="AQ63" s="384">
        <f>+AF63+AH63</f>
        <v>3340.8</v>
      </c>
      <c r="AR63" s="405"/>
      <c r="AS63" s="404">
        <v>0</v>
      </c>
      <c r="AT63" s="384">
        <f>+AU63-AF63</f>
        <v>-1670.4</v>
      </c>
      <c r="AU63" s="544">
        <f>+AV63+AW63</f>
        <v>0</v>
      </c>
      <c r="AV63" s="577">
        <v>0</v>
      </c>
      <c r="AW63" s="577">
        <v>0</v>
      </c>
    </row>
    <row r="64" spans="2:49" s="404" customFormat="1" ht="15.75" customHeight="1" x14ac:dyDescent="0.2">
      <c r="B64" s="410"/>
      <c r="C64" s="410"/>
      <c r="E64" s="420" t="s">
        <v>760</v>
      </c>
      <c r="G64" s="419" t="s">
        <v>846</v>
      </c>
      <c r="H64" s="408"/>
      <c r="J64" s="250">
        <v>260550</v>
      </c>
      <c r="K64" s="405"/>
      <c r="L64" s="405">
        <v>0</v>
      </c>
      <c r="M64" s="405"/>
      <c r="N64" s="405">
        <v>0</v>
      </c>
      <c r="O64" s="405"/>
      <c r="P64" s="405">
        <v>0</v>
      </c>
      <c r="Q64" s="405"/>
      <c r="R64" s="405">
        <v>876658.34</v>
      </c>
      <c r="S64" s="405">
        <v>0</v>
      </c>
      <c r="T64" s="405"/>
      <c r="U64" s="405">
        <v>1865968.1</v>
      </c>
      <c r="V64" s="405"/>
      <c r="X64" s="407">
        <v>0</v>
      </c>
      <c r="Y64" s="405">
        <f t="shared" si="17"/>
        <v>491812.55000000005</v>
      </c>
      <c r="Z64" s="405">
        <f t="shared" si="18"/>
        <v>0</v>
      </c>
      <c r="AA64" s="405"/>
      <c r="AB64" s="405">
        <v>752362.55</v>
      </c>
      <c r="AC64" s="405"/>
      <c r="AD64" s="405"/>
      <c r="AE64" s="405"/>
      <c r="AF64" s="451">
        <v>563552.51</v>
      </c>
      <c r="AG64" s="405"/>
      <c r="AH64" s="451">
        <v>752362.55</v>
      </c>
      <c r="AI64" s="405"/>
      <c r="AJ64" s="543">
        <f t="shared" si="12"/>
        <v>0</v>
      </c>
      <c r="AK64" s="405"/>
      <c r="AL64" s="466">
        <f>+AH64/$AL$47</f>
        <v>7.5747831157847176E-3</v>
      </c>
      <c r="AM64" s="466">
        <v>1.7953250400444983E-5</v>
      </c>
      <c r="AN64" s="384">
        <v>-2920.2</v>
      </c>
      <c r="AO64" s="406"/>
      <c r="AP64" s="417"/>
      <c r="AQ64" s="384">
        <f>+AF64+AH64</f>
        <v>1315915.06</v>
      </c>
      <c r="AR64" s="405"/>
      <c r="AS64" s="404">
        <v>174208.97999999998</v>
      </c>
      <c r="AT64" s="384">
        <f>+AU64-AF64</f>
        <v>-502047.2</v>
      </c>
      <c r="AU64" s="544">
        <f>+AV64+AW64</f>
        <v>61505.31</v>
      </c>
      <c r="AV64" s="577">
        <v>44519.43</v>
      </c>
      <c r="AW64" s="577">
        <v>16985.88</v>
      </c>
    </row>
    <row r="65" spans="2:49" s="404" customFormat="1" ht="15.75" customHeight="1" x14ac:dyDescent="0.2">
      <c r="B65" s="410"/>
      <c r="C65" s="410"/>
      <c r="E65" s="420">
        <v>24701</v>
      </c>
      <c r="G65" s="419" t="s">
        <v>923</v>
      </c>
      <c r="H65" s="408"/>
      <c r="J65" s="250">
        <v>0</v>
      </c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X65" s="407"/>
      <c r="Y65" s="405">
        <f t="shared" si="17"/>
        <v>287930.34999999998</v>
      </c>
      <c r="Z65" s="405">
        <f t="shared" si="18"/>
        <v>0</v>
      </c>
      <c r="AA65" s="405"/>
      <c r="AB65" s="405">
        <v>287930.34999999998</v>
      </c>
      <c r="AC65" s="405"/>
      <c r="AD65" s="405"/>
      <c r="AE65" s="405"/>
      <c r="AF65" s="451">
        <v>284682.34999999998</v>
      </c>
      <c r="AG65" s="405"/>
      <c r="AH65" s="451">
        <v>287930.34999999998</v>
      </c>
      <c r="AI65" s="405"/>
      <c r="AJ65" s="543">
        <f t="shared" si="12"/>
        <v>0</v>
      </c>
      <c r="AK65" s="405"/>
      <c r="AL65" s="466"/>
      <c r="AM65" s="466"/>
      <c r="AN65" s="384"/>
      <c r="AO65" s="406"/>
      <c r="AP65" s="417"/>
      <c r="AQ65" s="384"/>
      <c r="AR65" s="405"/>
      <c r="AS65" s="404">
        <v>3248</v>
      </c>
      <c r="AT65" s="384">
        <f>+AU65-AF65</f>
        <v>-284682.34999999998</v>
      </c>
      <c r="AU65" s="544">
        <f>+AV65+AW65</f>
        <v>0</v>
      </c>
      <c r="AV65" s="577">
        <v>0</v>
      </c>
      <c r="AW65" s="577">
        <v>0</v>
      </c>
    </row>
    <row r="66" spans="2:49" s="404" customFormat="1" ht="15.75" customHeight="1" x14ac:dyDescent="0.2">
      <c r="B66" s="410"/>
      <c r="C66" s="410"/>
      <c r="E66" s="420">
        <v>24801</v>
      </c>
      <c r="G66" s="419" t="s">
        <v>999</v>
      </c>
      <c r="H66" s="408"/>
      <c r="J66" s="250">
        <v>0</v>
      </c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X66" s="407"/>
      <c r="Y66" s="405">
        <f t="shared" si="17"/>
        <v>9442.5499999999993</v>
      </c>
      <c r="Z66" s="405">
        <f t="shared" si="18"/>
        <v>0</v>
      </c>
      <c r="AA66" s="405"/>
      <c r="AB66" s="405">
        <v>9442.5499999999993</v>
      </c>
      <c r="AC66" s="405"/>
      <c r="AD66" s="405"/>
      <c r="AE66" s="405"/>
      <c r="AF66" s="451">
        <v>9442.5499999999993</v>
      </c>
      <c r="AG66" s="405"/>
      <c r="AH66" s="451">
        <v>9442.5499999999993</v>
      </c>
      <c r="AI66" s="405"/>
      <c r="AJ66" s="543">
        <f t="shared" si="12"/>
        <v>0</v>
      </c>
      <c r="AK66" s="405"/>
      <c r="AL66" s="466"/>
      <c r="AM66" s="466"/>
      <c r="AN66" s="384"/>
      <c r="AO66" s="406"/>
      <c r="AP66" s="417"/>
      <c r="AQ66" s="384"/>
      <c r="AR66" s="405"/>
      <c r="AT66" s="384"/>
      <c r="AU66" s="544"/>
      <c r="AV66" s="577"/>
      <c r="AW66" s="577"/>
    </row>
    <row r="67" spans="2:49" s="404" customFormat="1" ht="15.75" customHeight="1" x14ac:dyDescent="0.2">
      <c r="B67" s="410"/>
      <c r="C67" s="410"/>
      <c r="E67" s="420" t="s">
        <v>761</v>
      </c>
      <c r="G67" s="419" t="s">
        <v>847</v>
      </c>
      <c r="H67" s="408"/>
      <c r="J67" s="250">
        <v>1498910.91</v>
      </c>
      <c r="K67" s="405"/>
      <c r="L67" s="405">
        <v>0</v>
      </c>
      <c r="M67" s="405"/>
      <c r="N67" s="405">
        <v>0</v>
      </c>
      <c r="O67" s="405"/>
      <c r="P67" s="405">
        <v>0</v>
      </c>
      <c r="Q67" s="405"/>
      <c r="R67" s="405">
        <v>876658.34</v>
      </c>
      <c r="S67" s="405">
        <v>0</v>
      </c>
      <c r="T67" s="405"/>
      <c r="U67" s="405">
        <v>1865968.1</v>
      </c>
      <c r="V67" s="405"/>
      <c r="X67" s="407">
        <v>0</v>
      </c>
      <c r="Y67" s="405">
        <f t="shared" si="17"/>
        <v>0</v>
      </c>
      <c r="Z67" s="405">
        <f t="shared" si="18"/>
        <v>609769.07999999996</v>
      </c>
      <c r="AA67" s="405"/>
      <c r="AB67" s="405">
        <v>889141.83</v>
      </c>
      <c r="AC67" s="405"/>
      <c r="AD67" s="405"/>
      <c r="AE67" s="405"/>
      <c r="AF67" s="451">
        <v>167939.34999999998</v>
      </c>
      <c r="AG67" s="405"/>
      <c r="AH67" s="451">
        <v>889141.83</v>
      </c>
      <c r="AI67" s="405"/>
      <c r="AJ67" s="543">
        <f t="shared" si="12"/>
        <v>0</v>
      </c>
      <c r="AK67" s="405"/>
      <c r="AL67" s="466">
        <f>+AH67/$AL$47</f>
        <v>8.9518763545871939E-3</v>
      </c>
      <c r="AM67" s="466">
        <v>1.1628535336761974E-6</v>
      </c>
      <c r="AN67" s="384">
        <v>-673.47</v>
      </c>
      <c r="AO67" s="406"/>
      <c r="AP67" s="417"/>
      <c r="AQ67" s="384">
        <f>+AF67+AH67</f>
        <v>1057081.18</v>
      </c>
      <c r="AR67" s="405"/>
      <c r="AS67" s="404">
        <v>721144.48</v>
      </c>
      <c r="AT67" s="384">
        <f>+AU67-AF67</f>
        <v>550681.65</v>
      </c>
      <c r="AU67" s="544">
        <f>+AV67+AW67</f>
        <v>718621</v>
      </c>
      <c r="AV67" s="577">
        <v>718621</v>
      </c>
      <c r="AW67" s="577">
        <v>0</v>
      </c>
    </row>
    <row r="68" spans="2:49" s="404" customFormat="1" ht="15.75" customHeight="1" x14ac:dyDescent="0.2">
      <c r="B68" s="410"/>
      <c r="C68" s="410"/>
      <c r="E68" s="420">
        <v>25201</v>
      </c>
      <c r="G68" s="419" t="s">
        <v>998</v>
      </c>
      <c r="H68" s="408"/>
      <c r="J68" s="250">
        <v>0</v>
      </c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X68" s="407"/>
      <c r="Y68" s="405">
        <f t="shared" si="17"/>
        <v>53046.79</v>
      </c>
      <c r="Z68" s="405">
        <f t="shared" si="18"/>
        <v>0</v>
      </c>
      <c r="AA68" s="405"/>
      <c r="AB68" s="405">
        <v>53046.79</v>
      </c>
      <c r="AC68" s="405"/>
      <c r="AD68" s="405"/>
      <c r="AE68" s="405"/>
      <c r="AF68" s="451">
        <v>53046.79</v>
      </c>
      <c r="AG68" s="405"/>
      <c r="AH68" s="451">
        <v>53046.79</v>
      </c>
      <c r="AI68" s="405"/>
      <c r="AJ68" s="543">
        <f t="shared" si="12"/>
        <v>0</v>
      </c>
      <c r="AK68" s="405"/>
      <c r="AL68" s="466"/>
      <c r="AM68" s="466"/>
      <c r="AN68" s="384"/>
      <c r="AO68" s="406"/>
      <c r="AP68" s="417"/>
      <c r="AQ68" s="384"/>
      <c r="AR68" s="405"/>
      <c r="AT68" s="384"/>
      <c r="AU68" s="544"/>
      <c r="AV68" s="577"/>
      <c r="AW68" s="577"/>
    </row>
    <row r="69" spans="2:49" s="404" customFormat="1" ht="15.75" customHeight="1" x14ac:dyDescent="0.2">
      <c r="B69" s="410"/>
      <c r="C69" s="410"/>
      <c r="E69" s="420" t="s">
        <v>762</v>
      </c>
      <c r="G69" s="419" t="s">
        <v>848</v>
      </c>
      <c r="H69" s="408"/>
      <c r="J69" s="250">
        <v>983285.07</v>
      </c>
      <c r="K69" s="405"/>
      <c r="L69" s="405">
        <v>0</v>
      </c>
      <c r="M69" s="405"/>
      <c r="N69" s="405">
        <v>0</v>
      </c>
      <c r="O69" s="405"/>
      <c r="P69" s="405">
        <v>0</v>
      </c>
      <c r="Q69" s="405"/>
      <c r="R69" s="405">
        <v>876658.34</v>
      </c>
      <c r="S69" s="405">
        <v>0</v>
      </c>
      <c r="T69" s="405"/>
      <c r="U69" s="405">
        <v>1865968.1</v>
      </c>
      <c r="V69" s="405"/>
      <c r="X69" s="407">
        <v>0</v>
      </c>
      <c r="Y69" s="405">
        <f t="shared" si="17"/>
        <v>547324.69000000006</v>
      </c>
      <c r="Z69" s="405">
        <f t="shared" si="18"/>
        <v>0</v>
      </c>
      <c r="AA69" s="405"/>
      <c r="AB69" s="405">
        <v>1530609.76</v>
      </c>
      <c r="AC69" s="405"/>
      <c r="AD69" s="405"/>
      <c r="AE69" s="405"/>
      <c r="AF69" s="451">
        <v>1288130.99</v>
      </c>
      <c r="AG69" s="405"/>
      <c r="AH69" s="451">
        <v>1530609.76</v>
      </c>
      <c r="AI69" s="405"/>
      <c r="AJ69" s="543">
        <f t="shared" si="12"/>
        <v>0</v>
      </c>
      <c r="AK69" s="405"/>
      <c r="AL69" s="466">
        <f t="shared" ref="AL69:AL75" si="19">+AH69/$AL$47</f>
        <v>1.5410172883941788E-2</v>
      </c>
      <c r="AM69" s="466">
        <v>5.3998095533856543E-4</v>
      </c>
      <c r="AN69" s="384">
        <v>1367.1500000000087</v>
      </c>
      <c r="AO69" s="406"/>
      <c r="AP69" s="417"/>
      <c r="AQ69" s="384">
        <f t="shared" ref="AQ69:AQ75" si="20">+AF69+AH69</f>
        <v>2818740.75</v>
      </c>
      <c r="AR69" s="405"/>
      <c r="AS69" s="404">
        <v>0</v>
      </c>
      <c r="AT69" s="384">
        <f t="shared" ref="AT69:AT81" si="21">+AU69-AF69</f>
        <v>-1288130.99</v>
      </c>
      <c r="AU69" s="544">
        <f t="shared" ref="AU69:AU81" si="22">+AV69+AW69</f>
        <v>0</v>
      </c>
      <c r="AV69" s="577">
        <v>0</v>
      </c>
      <c r="AW69" s="577">
        <v>0</v>
      </c>
    </row>
    <row r="70" spans="2:49" s="404" customFormat="1" ht="15.75" customHeight="1" x14ac:dyDescent="0.2">
      <c r="B70" s="410"/>
      <c r="C70" s="410"/>
      <c r="E70" s="420" t="s">
        <v>763</v>
      </c>
      <c r="G70" s="419" t="s">
        <v>849</v>
      </c>
      <c r="H70" s="408"/>
      <c r="J70" s="250">
        <v>452986</v>
      </c>
      <c r="K70" s="405"/>
      <c r="L70" s="405">
        <v>0</v>
      </c>
      <c r="M70" s="405"/>
      <c r="N70" s="405">
        <v>0</v>
      </c>
      <c r="O70" s="405"/>
      <c r="P70" s="405">
        <v>0</v>
      </c>
      <c r="Q70" s="405"/>
      <c r="R70" s="405">
        <v>876658.34</v>
      </c>
      <c r="S70" s="405">
        <v>0</v>
      </c>
      <c r="T70" s="405"/>
      <c r="U70" s="405">
        <v>1865968.1</v>
      </c>
      <c r="V70" s="405"/>
      <c r="X70" s="407">
        <v>0</v>
      </c>
      <c r="Y70" s="405">
        <f t="shared" si="17"/>
        <v>135326.92000000004</v>
      </c>
      <c r="Z70" s="405">
        <f t="shared" si="18"/>
        <v>0</v>
      </c>
      <c r="AA70" s="405"/>
      <c r="AB70" s="405">
        <v>588312.92000000004</v>
      </c>
      <c r="AC70" s="405"/>
      <c r="AD70" s="405"/>
      <c r="AE70" s="405"/>
      <c r="AF70" s="451">
        <v>555988.71</v>
      </c>
      <c r="AG70" s="405"/>
      <c r="AH70" s="451">
        <v>588312.92000000004</v>
      </c>
      <c r="AI70" s="405"/>
      <c r="AJ70" s="543">
        <f t="shared" si="12"/>
        <v>0</v>
      </c>
      <c r="AK70" s="405"/>
      <c r="AL70" s="466">
        <f t="shared" si="19"/>
        <v>5.9231321032845209E-3</v>
      </c>
      <c r="AM70" s="466">
        <v>8.5505012983053347E-4</v>
      </c>
      <c r="AN70" s="384">
        <v>-98046.710000000021</v>
      </c>
      <c r="AO70" s="406"/>
      <c r="AP70" s="417"/>
      <c r="AQ70" s="384">
        <f t="shared" si="20"/>
        <v>1144301.6299999999</v>
      </c>
      <c r="AR70" s="405"/>
      <c r="AS70" s="404">
        <v>11421.94</v>
      </c>
      <c r="AT70" s="384">
        <f t="shared" si="21"/>
        <v>-555988.71</v>
      </c>
      <c r="AU70" s="544">
        <f t="shared" si="22"/>
        <v>0</v>
      </c>
      <c r="AV70" s="577">
        <v>0</v>
      </c>
      <c r="AW70" s="577">
        <v>0</v>
      </c>
    </row>
    <row r="71" spans="2:49" s="404" customFormat="1" ht="15.75" customHeight="1" x14ac:dyDescent="0.2">
      <c r="B71" s="410"/>
      <c r="C71" s="410"/>
      <c r="E71" s="420" t="s">
        <v>764</v>
      </c>
      <c r="G71" s="419" t="s">
        <v>850</v>
      </c>
      <c r="H71" s="408"/>
      <c r="J71" s="250">
        <v>151338.99</v>
      </c>
      <c r="K71" s="405"/>
      <c r="L71" s="405">
        <v>0</v>
      </c>
      <c r="M71" s="405"/>
      <c r="N71" s="405">
        <v>0</v>
      </c>
      <c r="O71" s="405"/>
      <c r="P71" s="405">
        <v>0</v>
      </c>
      <c r="Q71" s="405"/>
      <c r="R71" s="405">
        <v>876658.34</v>
      </c>
      <c r="S71" s="405">
        <v>0</v>
      </c>
      <c r="T71" s="405"/>
      <c r="U71" s="405">
        <v>1865968.1</v>
      </c>
      <c r="V71" s="405"/>
      <c r="X71" s="407">
        <v>0</v>
      </c>
      <c r="Y71" s="405">
        <f t="shared" si="17"/>
        <v>0</v>
      </c>
      <c r="Z71" s="405">
        <f t="shared" si="18"/>
        <v>53433.219999999987</v>
      </c>
      <c r="AA71" s="405"/>
      <c r="AB71" s="405">
        <v>97905.77</v>
      </c>
      <c r="AC71" s="405"/>
      <c r="AD71" s="405"/>
      <c r="AE71" s="405"/>
      <c r="AF71" s="451">
        <v>83710.47</v>
      </c>
      <c r="AG71" s="405"/>
      <c r="AH71" s="451">
        <v>97905.77</v>
      </c>
      <c r="AI71" s="405"/>
      <c r="AJ71" s="543">
        <f t="shared" si="12"/>
        <v>0</v>
      </c>
      <c r="AK71" s="405"/>
      <c r="AL71" s="466">
        <f t="shared" si="19"/>
        <v>9.8571489707176664E-4</v>
      </c>
      <c r="AM71" s="466">
        <v>6.8317181975662336E-4</v>
      </c>
      <c r="AN71" s="384">
        <v>-105952.31</v>
      </c>
      <c r="AO71" s="406"/>
      <c r="AP71" s="417"/>
      <c r="AQ71" s="384">
        <f t="shared" si="20"/>
        <v>181616.24</v>
      </c>
      <c r="AR71" s="405"/>
      <c r="AS71" s="404">
        <v>2270.5</v>
      </c>
      <c r="AT71" s="384">
        <f t="shared" si="21"/>
        <v>-82688.97</v>
      </c>
      <c r="AU71" s="544">
        <f t="shared" si="22"/>
        <v>1021.5</v>
      </c>
      <c r="AV71" s="577">
        <v>673.5</v>
      </c>
      <c r="AW71" s="577">
        <v>348</v>
      </c>
    </row>
    <row r="72" spans="2:49" s="404" customFormat="1" ht="15.75" customHeight="1" x14ac:dyDescent="0.2">
      <c r="B72" s="410"/>
      <c r="C72" s="410"/>
      <c r="E72" s="420" t="s">
        <v>765</v>
      </c>
      <c r="G72" s="419" t="s">
        <v>766</v>
      </c>
      <c r="H72" s="408"/>
      <c r="J72" s="250">
        <v>1910334</v>
      </c>
      <c r="K72" s="405"/>
      <c r="L72" s="405">
        <v>0</v>
      </c>
      <c r="M72" s="405"/>
      <c r="N72" s="405">
        <v>0</v>
      </c>
      <c r="O72" s="405"/>
      <c r="P72" s="405">
        <v>0</v>
      </c>
      <c r="Q72" s="405"/>
      <c r="R72" s="405">
        <v>876658.34</v>
      </c>
      <c r="S72" s="405">
        <v>0</v>
      </c>
      <c r="T72" s="405"/>
      <c r="U72" s="405">
        <v>1865968.1</v>
      </c>
      <c r="V72" s="405"/>
      <c r="X72" s="407">
        <v>0</v>
      </c>
      <c r="Y72" s="405">
        <f t="shared" si="17"/>
        <v>0</v>
      </c>
      <c r="Z72" s="405">
        <f t="shared" si="18"/>
        <v>396375.74</v>
      </c>
      <c r="AA72" s="405"/>
      <c r="AB72" s="405">
        <v>1513958.26</v>
      </c>
      <c r="AC72" s="405"/>
      <c r="AD72" s="405"/>
      <c r="AE72" s="405"/>
      <c r="AF72" s="451">
        <v>558222.92999999993</v>
      </c>
      <c r="AG72" s="405"/>
      <c r="AH72" s="451">
        <v>1513958.26</v>
      </c>
      <c r="AI72" s="405"/>
      <c r="AJ72" s="543">
        <f t="shared" si="12"/>
        <v>0</v>
      </c>
      <c r="AK72" s="405"/>
      <c r="AL72" s="466">
        <f t="shared" si="19"/>
        <v>1.5242525649171145E-2</v>
      </c>
      <c r="AM72" s="466">
        <v>4.725272953086163E-4</v>
      </c>
      <c r="AN72" s="384">
        <v>-43649.16</v>
      </c>
      <c r="AO72" s="406"/>
      <c r="AP72" s="417"/>
      <c r="AQ72" s="384">
        <f t="shared" si="20"/>
        <v>2072181.19</v>
      </c>
      <c r="AR72" s="405"/>
      <c r="AS72" s="404">
        <v>542953.99</v>
      </c>
      <c r="AT72" s="384">
        <f t="shared" si="21"/>
        <v>-477413.58999999997</v>
      </c>
      <c r="AU72" s="544">
        <f t="shared" si="22"/>
        <v>80809.34</v>
      </c>
      <c r="AV72" s="577">
        <v>71809.34</v>
      </c>
      <c r="AW72" s="577">
        <v>9000</v>
      </c>
    </row>
    <row r="73" spans="2:49" s="404" customFormat="1" ht="15.75" customHeight="1" x14ac:dyDescent="0.2">
      <c r="B73" s="410"/>
      <c r="C73" s="410"/>
      <c r="E73" s="420" t="s">
        <v>767</v>
      </c>
      <c r="G73" s="419" t="s">
        <v>851</v>
      </c>
      <c r="H73" s="408"/>
      <c r="J73" s="250">
        <v>1225867</v>
      </c>
      <c r="K73" s="405"/>
      <c r="L73" s="405">
        <v>0</v>
      </c>
      <c r="M73" s="405"/>
      <c r="N73" s="405">
        <v>0</v>
      </c>
      <c r="O73" s="405"/>
      <c r="P73" s="405">
        <v>0</v>
      </c>
      <c r="Q73" s="405"/>
      <c r="R73" s="405">
        <v>876658.34</v>
      </c>
      <c r="S73" s="405">
        <v>0</v>
      </c>
      <c r="T73" s="405"/>
      <c r="U73" s="405">
        <v>1865968.1</v>
      </c>
      <c r="V73" s="405"/>
      <c r="X73" s="407">
        <v>0</v>
      </c>
      <c r="Y73" s="405">
        <f t="shared" si="17"/>
        <v>0</v>
      </c>
      <c r="Z73" s="405">
        <f t="shared" si="18"/>
        <v>319140.19999999995</v>
      </c>
      <c r="AA73" s="405"/>
      <c r="AB73" s="405">
        <v>906726.8</v>
      </c>
      <c r="AC73" s="405"/>
      <c r="AD73" s="405"/>
      <c r="AE73" s="405"/>
      <c r="AF73" s="451">
        <v>477939.76</v>
      </c>
      <c r="AG73" s="405"/>
      <c r="AH73" s="451">
        <v>906726.8</v>
      </c>
      <c r="AI73" s="405"/>
      <c r="AJ73" s="543">
        <f t="shared" si="12"/>
        <v>0</v>
      </c>
      <c r="AK73" s="405"/>
      <c r="AL73" s="466">
        <f t="shared" si="19"/>
        <v>9.1289217615490113E-3</v>
      </c>
      <c r="AM73" s="466">
        <v>1.0872195262467051E-2</v>
      </c>
      <c r="AN73" s="384">
        <v>-658740.77</v>
      </c>
      <c r="AO73" s="406"/>
      <c r="AP73" s="417"/>
      <c r="AQ73" s="384">
        <f t="shared" si="20"/>
        <v>1384666.56</v>
      </c>
      <c r="AR73" s="405"/>
      <c r="AS73" s="404">
        <v>428787.04</v>
      </c>
      <c r="AT73" s="384">
        <f t="shared" si="21"/>
        <v>-378476.72000000003</v>
      </c>
      <c r="AU73" s="544">
        <f t="shared" si="22"/>
        <v>99463.039999999994</v>
      </c>
      <c r="AV73" s="577">
        <v>3535.68</v>
      </c>
      <c r="AW73" s="577">
        <v>95927.360000000001</v>
      </c>
    </row>
    <row r="74" spans="2:49" s="404" customFormat="1" ht="15.75" customHeight="1" x14ac:dyDescent="0.2">
      <c r="B74" s="410"/>
      <c r="C74" s="410"/>
      <c r="E74" s="420" t="s">
        <v>768</v>
      </c>
      <c r="G74" s="419" t="s">
        <v>769</v>
      </c>
      <c r="H74" s="408"/>
      <c r="J74" s="250">
        <v>80241</v>
      </c>
      <c r="K74" s="405"/>
      <c r="L74" s="405">
        <v>0</v>
      </c>
      <c r="M74" s="405"/>
      <c r="N74" s="405">
        <v>0</v>
      </c>
      <c r="O74" s="405"/>
      <c r="P74" s="405">
        <v>0</v>
      </c>
      <c r="Q74" s="405"/>
      <c r="R74" s="405">
        <v>876658.34</v>
      </c>
      <c r="S74" s="405">
        <v>0</v>
      </c>
      <c r="T74" s="405"/>
      <c r="U74" s="405">
        <v>1865968.1</v>
      </c>
      <c r="V74" s="405"/>
      <c r="X74" s="407">
        <v>0</v>
      </c>
      <c r="Y74" s="405">
        <f t="shared" si="17"/>
        <v>46897.86</v>
      </c>
      <c r="Z74" s="405">
        <f t="shared" si="18"/>
        <v>0</v>
      </c>
      <c r="AA74" s="405"/>
      <c r="AB74" s="405">
        <v>127138.86</v>
      </c>
      <c r="AC74" s="405"/>
      <c r="AD74" s="405"/>
      <c r="AE74" s="405"/>
      <c r="AF74" s="451">
        <v>123323.23999999999</v>
      </c>
      <c r="AG74" s="405"/>
      <c r="AH74" s="451">
        <v>127138.86</v>
      </c>
      <c r="AI74" s="405"/>
      <c r="AJ74" s="543">
        <f t="shared" si="12"/>
        <v>0</v>
      </c>
      <c r="AK74" s="405"/>
      <c r="AL74" s="466">
        <f t="shared" si="19"/>
        <v>1.2800335291650506E-3</v>
      </c>
      <c r="AM74" s="466">
        <v>3.4335893430729905E-4</v>
      </c>
      <c r="AN74" s="384">
        <v>7539</v>
      </c>
      <c r="AO74" s="406"/>
      <c r="AP74" s="417"/>
      <c r="AQ74" s="384">
        <f t="shared" si="20"/>
        <v>250462.09999999998</v>
      </c>
      <c r="AR74" s="405"/>
      <c r="AS74" s="404">
        <v>3815.62</v>
      </c>
      <c r="AT74" s="384">
        <f t="shared" si="21"/>
        <v>-119507.62</v>
      </c>
      <c r="AU74" s="544">
        <f t="shared" si="22"/>
        <v>3815.62</v>
      </c>
      <c r="AV74" s="577">
        <v>3815.62</v>
      </c>
      <c r="AW74" s="577">
        <v>0</v>
      </c>
    </row>
    <row r="75" spans="2:49" s="404" customFormat="1" ht="15.75" customHeight="1" x14ac:dyDescent="0.2">
      <c r="B75" s="410"/>
      <c r="C75" s="410"/>
      <c r="E75" s="420" t="s">
        <v>770</v>
      </c>
      <c r="G75" s="419" t="s">
        <v>852</v>
      </c>
      <c r="H75" s="408"/>
      <c r="J75" s="250">
        <v>563644.01</v>
      </c>
      <c r="K75" s="405"/>
      <c r="L75" s="405">
        <v>0</v>
      </c>
      <c r="M75" s="405"/>
      <c r="N75" s="405">
        <v>0</v>
      </c>
      <c r="O75" s="405"/>
      <c r="P75" s="405">
        <v>0</v>
      </c>
      <c r="Q75" s="405"/>
      <c r="R75" s="405">
        <v>876658.34</v>
      </c>
      <c r="S75" s="405">
        <v>0</v>
      </c>
      <c r="T75" s="405"/>
      <c r="U75" s="405">
        <v>1865968.1</v>
      </c>
      <c r="V75" s="405"/>
      <c r="X75" s="407">
        <v>0</v>
      </c>
      <c r="Y75" s="405">
        <f t="shared" si="17"/>
        <v>0</v>
      </c>
      <c r="Z75" s="405">
        <f t="shared" si="18"/>
        <v>105359.23999999999</v>
      </c>
      <c r="AA75" s="405"/>
      <c r="AB75" s="405">
        <v>458284.77</v>
      </c>
      <c r="AC75" s="405"/>
      <c r="AD75" s="405"/>
      <c r="AE75" s="405"/>
      <c r="AF75" s="451">
        <v>344626.81</v>
      </c>
      <c r="AG75" s="405"/>
      <c r="AH75" s="451">
        <v>458284.77</v>
      </c>
      <c r="AI75" s="405"/>
      <c r="AJ75" s="543">
        <f t="shared" si="12"/>
        <v>0</v>
      </c>
      <c r="AK75" s="405"/>
      <c r="AL75" s="466">
        <f t="shared" si="19"/>
        <v>4.6140092140647916E-3</v>
      </c>
      <c r="AM75" s="466">
        <v>8.8414522864290992E-5</v>
      </c>
      <c r="AN75" s="384">
        <v>-1082219.6500000001</v>
      </c>
      <c r="AO75" s="406"/>
      <c r="AP75" s="417"/>
      <c r="AQ75" s="384">
        <f t="shared" si="20"/>
        <v>802911.58000000007</v>
      </c>
      <c r="AR75" s="405"/>
      <c r="AS75" s="404">
        <v>19697.96</v>
      </c>
      <c r="AT75" s="384">
        <f t="shared" si="21"/>
        <v>-344626.81</v>
      </c>
      <c r="AU75" s="544">
        <f t="shared" si="22"/>
        <v>0</v>
      </c>
      <c r="AV75" s="577">
        <v>0</v>
      </c>
      <c r="AW75" s="577">
        <v>0</v>
      </c>
    </row>
    <row r="76" spans="2:49" s="404" customFormat="1" ht="15.75" customHeight="1" x14ac:dyDescent="0.2">
      <c r="B76" s="410"/>
      <c r="C76" s="410"/>
      <c r="E76" s="420">
        <v>27401</v>
      </c>
      <c r="G76" s="419" t="s">
        <v>922</v>
      </c>
      <c r="H76" s="408"/>
      <c r="J76" s="250">
        <v>0</v>
      </c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X76" s="407"/>
      <c r="Y76" s="405">
        <f t="shared" si="17"/>
        <v>401495.67</v>
      </c>
      <c r="Z76" s="405">
        <f t="shared" si="18"/>
        <v>0</v>
      </c>
      <c r="AA76" s="405"/>
      <c r="AB76" s="405">
        <v>401495.67</v>
      </c>
      <c r="AC76" s="405"/>
      <c r="AD76" s="405"/>
      <c r="AE76" s="405"/>
      <c r="AF76" s="451">
        <v>84177.43</v>
      </c>
      <c r="AG76" s="405"/>
      <c r="AH76" s="451">
        <v>401495.67</v>
      </c>
      <c r="AI76" s="405"/>
      <c r="AJ76" s="543">
        <f t="shared" si="12"/>
        <v>0</v>
      </c>
      <c r="AK76" s="405"/>
      <c r="AL76" s="466"/>
      <c r="AM76" s="466"/>
      <c r="AN76" s="384"/>
      <c r="AO76" s="406"/>
      <c r="AP76" s="417"/>
      <c r="AQ76" s="384"/>
      <c r="AR76" s="405"/>
      <c r="AS76" s="404">
        <v>1552.78</v>
      </c>
      <c r="AT76" s="384">
        <f t="shared" si="21"/>
        <v>-83297.45</v>
      </c>
      <c r="AU76" s="544">
        <f t="shared" si="22"/>
        <v>879.98</v>
      </c>
      <c r="AV76" s="577">
        <v>879.98</v>
      </c>
      <c r="AW76" s="577">
        <v>0</v>
      </c>
    </row>
    <row r="77" spans="2:49" s="404" customFormat="1" ht="15.75" customHeight="1" x14ac:dyDescent="0.2">
      <c r="B77" s="410"/>
      <c r="C77" s="410"/>
      <c r="E77" s="420" t="s">
        <v>771</v>
      </c>
      <c r="G77" s="419" t="s">
        <v>853</v>
      </c>
      <c r="H77" s="408"/>
      <c r="J77" s="250">
        <v>513557</v>
      </c>
      <c r="K77" s="405"/>
      <c r="L77" s="405">
        <v>0</v>
      </c>
      <c r="M77" s="405"/>
      <c r="N77" s="405">
        <v>0</v>
      </c>
      <c r="O77" s="405"/>
      <c r="P77" s="405">
        <v>0</v>
      </c>
      <c r="Q77" s="405"/>
      <c r="R77" s="405">
        <v>876658.34</v>
      </c>
      <c r="S77" s="405">
        <v>0</v>
      </c>
      <c r="T77" s="405"/>
      <c r="U77" s="405">
        <v>1865968.1</v>
      </c>
      <c r="V77" s="405"/>
      <c r="X77" s="407">
        <v>0</v>
      </c>
      <c r="Y77" s="405">
        <f t="shared" si="17"/>
        <v>0</v>
      </c>
      <c r="Z77" s="405">
        <f t="shared" si="18"/>
        <v>443266.16000000003</v>
      </c>
      <c r="AA77" s="405"/>
      <c r="AB77" s="405">
        <v>70290.84</v>
      </c>
      <c r="AC77" s="405"/>
      <c r="AD77" s="405"/>
      <c r="AE77" s="405"/>
      <c r="AF77" s="451">
        <v>68059</v>
      </c>
      <c r="AG77" s="405"/>
      <c r="AH77" s="451">
        <v>70290.84</v>
      </c>
      <c r="AI77" s="405"/>
      <c r="AJ77" s="543">
        <f t="shared" si="12"/>
        <v>0</v>
      </c>
      <c r="AK77" s="405"/>
      <c r="AL77" s="466">
        <f>+AH77/$AL$47</f>
        <v>7.0768789332526579E-4</v>
      </c>
      <c r="AM77" s="466">
        <v>2.0862931437614003E-4</v>
      </c>
      <c r="AN77" s="384">
        <v>-427683.42999999993</v>
      </c>
      <c r="AO77" s="406"/>
      <c r="AP77" s="417"/>
      <c r="AQ77" s="384">
        <f>+AF77+AH77</f>
        <v>138349.84</v>
      </c>
      <c r="AR77" s="405"/>
      <c r="AS77" s="404">
        <v>2231.84</v>
      </c>
      <c r="AT77" s="384">
        <f t="shared" si="21"/>
        <v>-65827.16</v>
      </c>
      <c r="AU77" s="544">
        <f t="shared" si="22"/>
        <v>2231.84</v>
      </c>
      <c r="AV77" s="577">
        <v>2231.84</v>
      </c>
      <c r="AW77" s="577">
        <v>0</v>
      </c>
    </row>
    <row r="78" spans="2:49" s="404" customFormat="1" ht="15.75" customHeight="1" x14ac:dyDescent="0.2">
      <c r="B78" s="410"/>
      <c r="C78" s="410"/>
      <c r="E78" s="420" t="s">
        <v>772</v>
      </c>
      <c r="G78" s="419" t="s">
        <v>854</v>
      </c>
      <c r="H78" s="408"/>
      <c r="J78" s="250">
        <v>750034.15</v>
      </c>
      <c r="K78" s="405"/>
      <c r="L78" s="405">
        <v>0</v>
      </c>
      <c r="M78" s="405"/>
      <c r="N78" s="405">
        <v>0</v>
      </c>
      <c r="O78" s="405"/>
      <c r="P78" s="405">
        <v>0</v>
      </c>
      <c r="Q78" s="405"/>
      <c r="R78" s="405">
        <v>876658.34</v>
      </c>
      <c r="S78" s="405">
        <v>0</v>
      </c>
      <c r="T78" s="405"/>
      <c r="U78" s="405">
        <v>1865968.1</v>
      </c>
      <c r="V78" s="405"/>
      <c r="X78" s="407">
        <v>0</v>
      </c>
      <c r="Y78" s="405">
        <f t="shared" si="17"/>
        <v>0</v>
      </c>
      <c r="Z78" s="405">
        <f t="shared" si="18"/>
        <v>617225.22</v>
      </c>
      <c r="AA78" s="405"/>
      <c r="AB78" s="405">
        <v>132808.93</v>
      </c>
      <c r="AC78" s="405"/>
      <c r="AD78" s="405"/>
      <c r="AE78" s="405"/>
      <c r="AF78" s="451">
        <v>122104.75</v>
      </c>
      <c r="AG78" s="405"/>
      <c r="AH78" s="451">
        <v>132808.93</v>
      </c>
      <c r="AI78" s="405"/>
      <c r="AJ78" s="543">
        <f t="shared" si="12"/>
        <v>0</v>
      </c>
      <c r="AK78" s="405"/>
      <c r="AL78" s="466">
        <f>+AH78/$AL$47</f>
        <v>1.3371197710325086E-3</v>
      </c>
      <c r="AM78" s="466">
        <v>1.5212902987370332E-4</v>
      </c>
      <c r="AN78" s="384">
        <v>-32887.360000000001</v>
      </c>
      <c r="AO78" s="406"/>
      <c r="AP78" s="417"/>
      <c r="AQ78" s="384">
        <f>+AF78+AH78</f>
        <v>254913.68</v>
      </c>
      <c r="AR78" s="405"/>
      <c r="AS78" s="404">
        <v>10704.18</v>
      </c>
      <c r="AT78" s="384">
        <f t="shared" si="21"/>
        <v>-111400.57</v>
      </c>
      <c r="AU78" s="544">
        <f t="shared" si="22"/>
        <v>10704.18</v>
      </c>
      <c r="AV78" s="577">
        <v>10576.58</v>
      </c>
      <c r="AW78" s="577">
        <v>127.6</v>
      </c>
    </row>
    <row r="79" spans="2:49" s="404" customFormat="1" ht="15.75" customHeight="1" x14ac:dyDescent="0.2">
      <c r="B79" s="410"/>
      <c r="C79" s="410"/>
      <c r="E79" s="420" t="s">
        <v>773</v>
      </c>
      <c r="G79" s="419" t="s">
        <v>855</v>
      </c>
      <c r="H79" s="408"/>
      <c r="J79" s="250">
        <v>6263</v>
      </c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X79" s="407"/>
      <c r="Y79" s="405">
        <f t="shared" si="17"/>
        <v>2063.1800000000003</v>
      </c>
      <c r="Z79" s="405">
        <f t="shared" si="18"/>
        <v>0</v>
      </c>
      <c r="AA79" s="405"/>
      <c r="AB79" s="405">
        <v>8326.18</v>
      </c>
      <c r="AC79" s="405"/>
      <c r="AD79" s="405"/>
      <c r="AE79" s="405"/>
      <c r="AF79" s="451">
        <v>1075.46</v>
      </c>
      <c r="AG79" s="405"/>
      <c r="AH79" s="451">
        <v>8326.18</v>
      </c>
      <c r="AI79" s="405"/>
      <c r="AJ79" s="543">
        <f t="shared" si="12"/>
        <v>0</v>
      </c>
      <c r="AK79" s="405"/>
      <c r="AL79" s="466"/>
      <c r="AM79" s="466"/>
      <c r="AN79" s="384">
        <v>-259.98</v>
      </c>
      <c r="AO79" s="406"/>
      <c r="AP79" s="417"/>
      <c r="AQ79" s="384">
        <f>+AF79+AH79</f>
        <v>9401.64</v>
      </c>
      <c r="AR79" s="405"/>
      <c r="AS79" s="404">
        <v>4489.92</v>
      </c>
      <c r="AT79" s="384">
        <f t="shared" si="21"/>
        <v>-1075.46</v>
      </c>
      <c r="AU79" s="544">
        <f t="shared" si="22"/>
        <v>0</v>
      </c>
      <c r="AV79" s="577">
        <v>0</v>
      </c>
      <c r="AW79" s="577">
        <v>0</v>
      </c>
    </row>
    <row r="80" spans="2:49" s="404" customFormat="1" ht="15.75" customHeight="1" x14ac:dyDescent="0.2">
      <c r="B80" s="410"/>
      <c r="C80" s="410"/>
      <c r="D80" s="411"/>
      <c r="E80" s="420" t="s">
        <v>774</v>
      </c>
      <c r="G80" s="419" t="s">
        <v>856</v>
      </c>
      <c r="H80" s="408"/>
      <c r="J80" s="250">
        <v>193737</v>
      </c>
      <c r="K80" s="405"/>
      <c r="L80" s="405">
        <v>0</v>
      </c>
      <c r="M80" s="405"/>
      <c r="N80" s="405">
        <v>0</v>
      </c>
      <c r="O80" s="405"/>
      <c r="P80" s="405">
        <v>0</v>
      </c>
      <c r="Q80" s="405"/>
      <c r="R80" s="405">
        <v>876658.34</v>
      </c>
      <c r="S80" s="405">
        <v>0</v>
      </c>
      <c r="T80" s="405"/>
      <c r="U80" s="405">
        <v>1865968.1</v>
      </c>
      <c r="V80" s="405"/>
      <c r="X80" s="407">
        <v>0</v>
      </c>
      <c r="Y80" s="405">
        <f t="shared" si="17"/>
        <v>0</v>
      </c>
      <c r="Z80" s="405">
        <f t="shared" si="18"/>
        <v>156038.72</v>
      </c>
      <c r="AA80" s="405"/>
      <c r="AB80" s="405">
        <v>37698.28</v>
      </c>
      <c r="AC80" s="405"/>
      <c r="AD80" s="405"/>
      <c r="AE80" s="405"/>
      <c r="AF80" s="451">
        <v>14519.16</v>
      </c>
      <c r="AG80" s="405"/>
      <c r="AH80" s="451">
        <v>37698.28</v>
      </c>
      <c r="AI80" s="405"/>
      <c r="AJ80" s="543">
        <f t="shared" si="12"/>
        <v>0</v>
      </c>
      <c r="AK80" s="405"/>
      <c r="AL80" s="466">
        <f>+AH80/$AL$47</f>
        <v>3.7954613083562529E-4</v>
      </c>
      <c r="AM80" s="466">
        <v>1.1228967183715518E-2</v>
      </c>
      <c r="AN80" s="384">
        <v>-114182.91000000015</v>
      </c>
      <c r="AO80" s="406"/>
      <c r="AP80" s="417"/>
      <c r="AQ80" s="384">
        <f>+AF80+AH80</f>
        <v>52217.440000000002</v>
      </c>
      <c r="AR80" s="405"/>
      <c r="AS80" s="404">
        <v>23179.119999999999</v>
      </c>
      <c r="AT80" s="384">
        <f t="shared" si="21"/>
        <v>-14519.16</v>
      </c>
      <c r="AU80" s="544">
        <f t="shared" si="22"/>
        <v>0</v>
      </c>
      <c r="AV80" s="577">
        <v>0</v>
      </c>
      <c r="AW80" s="577">
        <v>0</v>
      </c>
    </row>
    <row r="81" spans="1:65" s="404" customFormat="1" ht="15.75" customHeight="1" x14ac:dyDescent="0.2">
      <c r="B81" s="410"/>
      <c r="C81" s="410"/>
      <c r="D81" s="411"/>
      <c r="E81" s="420" t="s">
        <v>775</v>
      </c>
      <c r="G81" s="419" t="s">
        <v>776</v>
      </c>
      <c r="H81" s="408"/>
      <c r="J81" s="250">
        <v>116414</v>
      </c>
      <c r="K81" s="405"/>
      <c r="L81" s="405">
        <v>0</v>
      </c>
      <c r="M81" s="405"/>
      <c r="N81" s="405">
        <v>0</v>
      </c>
      <c r="O81" s="405"/>
      <c r="P81" s="405">
        <v>0</v>
      </c>
      <c r="Q81" s="405"/>
      <c r="R81" s="405">
        <v>876658.34</v>
      </c>
      <c r="S81" s="405">
        <v>0</v>
      </c>
      <c r="T81" s="405"/>
      <c r="U81" s="405">
        <v>1865968.1</v>
      </c>
      <c r="V81" s="405"/>
      <c r="X81" s="407">
        <v>0</v>
      </c>
      <c r="Y81" s="405">
        <f t="shared" si="17"/>
        <v>0</v>
      </c>
      <c r="Z81" s="405">
        <f t="shared" si="18"/>
        <v>7954.6999999999971</v>
      </c>
      <c r="AA81" s="405"/>
      <c r="AB81" s="405">
        <v>108459.3</v>
      </c>
      <c r="AC81" s="405"/>
      <c r="AD81" s="405"/>
      <c r="AE81" s="405"/>
      <c r="AF81" s="451">
        <v>65249.86</v>
      </c>
      <c r="AG81" s="405"/>
      <c r="AH81" s="451">
        <v>108459.3</v>
      </c>
      <c r="AI81" s="405"/>
      <c r="AJ81" s="543">
        <f t="shared" si="12"/>
        <v>0</v>
      </c>
      <c r="AK81" s="405"/>
      <c r="AL81" s="466">
        <f>+AH81/$AL$47</f>
        <v>1.0919677945025697E-3</v>
      </c>
      <c r="AM81" s="466">
        <v>6.7356619650863958E-3</v>
      </c>
      <c r="AN81" s="384">
        <v>-224003.38</v>
      </c>
      <c r="AO81" s="406"/>
      <c r="AP81" s="417"/>
      <c r="AQ81" s="384">
        <f>+AF81+AH81</f>
        <v>173709.16</v>
      </c>
      <c r="AR81" s="405"/>
      <c r="AS81" s="404">
        <v>36232.639999999999</v>
      </c>
      <c r="AT81" s="384">
        <f t="shared" si="21"/>
        <v>-48511.06</v>
      </c>
      <c r="AU81" s="544">
        <f t="shared" si="22"/>
        <v>16738.8</v>
      </c>
      <c r="AV81" s="577">
        <v>16738.8</v>
      </c>
      <c r="AW81" s="577">
        <v>0</v>
      </c>
    </row>
    <row r="82" spans="1:65" s="404" customFormat="1" ht="15.75" customHeight="1" x14ac:dyDescent="0.2">
      <c r="B82" s="410"/>
      <c r="C82" s="410"/>
      <c r="E82" s="420">
        <v>29501</v>
      </c>
      <c r="G82" s="419" t="s">
        <v>960</v>
      </c>
      <c r="H82" s="408"/>
      <c r="J82" s="250">
        <v>0</v>
      </c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X82" s="407"/>
      <c r="Y82" s="405">
        <f t="shared" si="17"/>
        <v>8712.9599999999991</v>
      </c>
      <c r="Z82" s="405">
        <f t="shared" si="18"/>
        <v>0</v>
      </c>
      <c r="AA82" s="405"/>
      <c r="AB82" s="405">
        <v>8712.9599999999991</v>
      </c>
      <c r="AC82" s="405"/>
      <c r="AD82" s="405"/>
      <c r="AE82" s="405"/>
      <c r="AF82" s="451">
        <v>1259.76</v>
      </c>
      <c r="AG82" s="405"/>
      <c r="AH82" s="451">
        <v>8712.9599999999991</v>
      </c>
      <c r="AI82" s="405"/>
      <c r="AJ82" s="543">
        <f t="shared" si="12"/>
        <v>0</v>
      </c>
      <c r="AK82" s="405"/>
      <c r="AL82" s="466"/>
      <c r="AM82" s="466"/>
      <c r="AN82" s="384"/>
      <c r="AO82" s="406"/>
      <c r="AP82" s="417"/>
      <c r="AQ82" s="384"/>
      <c r="AR82" s="405"/>
      <c r="AT82" s="384"/>
      <c r="AU82" s="544"/>
      <c r="AV82" s="577"/>
      <c r="AW82" s="577"/>
    </row>
    <row r="83" spans="1:65" s="404" customFormat="1" ht="15.75" customHeight="1" x14ac:dyDescent="0.2">
      <c r="B83" s="410"/>
      <c r="C83" s="410"/>
      <c r="E83" s="420">
        <v>29801</v>
      </c>
      <c r="G83" s="419" t="s">
        <v>997</v>
      </c>
      <c r="H83" s="408"/>
      <c r="J83" s="250">
        <v>0</v>
      </c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X83" s="407"/>
      <c r="Y83" s="405">
        <f t="shared" si="17"/>
        <v>1740</v>
      </c>
      <c r="Z83" s="405">
        <f t="shared" si="18"/>
        <v>0</v>
      </c>
      <c r="AA83" s="405"/>
      <c r="AB83" s="405">
        <v>1740</v>
      </c>
      <c r="AC83" s="405"/>
      <c r="AD83" s="405"/>
      <c r="AE83" s="405"/>
      <c r="AF83" s="451">
        <v>1740</v>
      </c>
      <c r="AG83" s="405"/>
      <c r="AH83" s="451">
        <v>1740</v>
      </c>
      <c r="AI83" s="405"/>
      <c r="AJ83" s="543">
        <f t="shared" si="12"/>
        <v>0</v>
      </c>
      <c r="AK83" s="405"/>
      <c r="AL83" s="466"/>
      <c r="AM83" s="466"/>
      <c r="AN83" s="384"/>
      <c r="AO83" s="406"/>
      <c r="AP83" s="417"/>
      <c r="AQ83" s="384"/>
      <c r="AR83" s="405"/>
      <c r="AT83" s="384"/>
      <c r="AU83" s="544"/>
      <c r="AV83" s="577"/>
      <c r="AW83" s="577"/>
    </row>
    <row r="84" spans="1:65" s="411" customFormat="1" ht="15.75" customHeight="1" x14ac:dyDescent="0.2">
      <c r="A84" s="404"/>
      <c r="B84" s="410"/>
      <c r="C84" s="410"/>
      <c r="D84" s="404"/>
      <c r="E84" s="409"/>
      <c r="F84" s="404"/>
      <c r="G84" s="408"/>
      <c r="H84" s="404"/>
      <c r="I84" s="404"/>
      <c r="J84" s="250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4"/>
      <c r="X84" s="407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543"/>
      <c r="AK84" s="405"/>
      <c r="AL84" s="417"/>
      <c r="AM84" s="466"/>
      <c r="AN84" s="385"/>
      <c r="AO84" s="422"/>
      <c r="AP84" s="404"/>
      <c r="AQ84" s="404"/>
      <c r="AR84" s="404"/>
      <c r="AS84" s="385"/>
    </row>
    <row r="85" spans="1:65" s="411" customFormat="1" ht="15.75" customHeight="1" x14ac:dyDescent="0.2">
      <c r="B85" s="424" t="s">
        <v>73</v>
      </c>
      <c r="C85" s="410"/>
      <c r="G85" s="412"/>
      <c r="J85" s="450">
        <f>SUM(J86:J123)</f>
        <v>82990296.810000002</v>
      </c>
      <c r="K85" s="450"/>
      <c r="L85" s="450">
        <f t="shared" ref="L85:X85" si="23">SUM(L86:L122)</f>
        <v>0</v>
      </c>
      <c r="M85" s="450">
        <f t="shared" si="23"/>
        <v>0</v>
      </c>
      <c r="N85" s="450">
        <f t="shared" si="23"/>
        <v>0</v>
      </c>
      <c r="O85" s="450">
        <f t="shared" si="23"/>
        <v>0</v>
      </c>
      <c r="P85" s="450">
        <f t="shared" si="23"/>
        <v>0</v>
      </c>
      <c r="Q85" s="450">
        <f t="shared" si="23"/>
        <v>0</v>
      </c>
      <c r="R85" s="450">
        <f t="shared" si="23"/>
        <v>300995350</v>
      </c>
      <c r="S85" s="450">
        <f t="shared" si="23"/>
        <v>0</v>
      </c>
      <c r="T85" s="450">
        <f t="shared" si="23"/>
        <v>0</v>
      </c>
      <c r="U85" s="450">
        <f t="shared" si="23"/>
        <v>952698343</v>
      </c>
      <c r="V85" s="450">
        <f t="shared" si="23"/>
        <v>0</v>
      </c>
      <c r="W85" s="450">
        <f t="shared" si="23"/>
        <v>0</v>
      </c>
      <c r="X85" s="450">
        <f t="shared" si="23"/>
        <v>0</v>
      </c>
      <c r="Y85" s="450">
        <f>SUM(Y86:Y123)</f>
        <v>98452877.459999993</v>
      </c>
      <c r="Z85" s="450">
        <f>SUM(Z86:Z123)</f>
        <v>18681304.490000002</v>
      </c>
      <c r="AA85" s="450"/>
      <c r="AB85" s="450">
        <f>SUM(AB86:AB123)</f>
        <v>162761869.78000003</v>
      </c>
      <c r="AC85" s="450"/>
      <c r="AD85" s="450">
        <f>SUM(AD86:AD122)</f>
        <v>0</v>
      </c>
      <c r="AE85" s="450"/>
      <c r="AF85" s="450">
        <f>SUM(AF86:AF123)</f>
        <v>59312764.909999996</v>
      </c>
      <c r="AG85" s="75"/>
      <c r="AH85" s="450">
        <f>SUM(AH86:AH123)</f>
        <v>162761869.77000001</v>
      </c>
      <c r="AI85" s="75"/>
      <c r="AJ85" s="545">
        <f>SUM(AJ86:AJ123)</f>
        <v>9.9999997764825821E-3</v>
      </c>
      <c r="AK85" s="415"/>
      <c r="AL85" s="467"/>
      <c r="AM85" s="466"/>
      <c r="AN85" s="385"/>
      <c r="AO85" s="422"/>
      <c r="AQ85" s="385"/>
      <c r="AR85" s="445"/>
      <c r="AS85" s="411">
        <v>35443899</v>
      </c>
      <c r="AT85" s="415">
        <f>+AS85-AH85</f>
        <v>-127317970.77000001</v>
      </c>
    </row>
    <row r="86" spans="1:65" s="404" customFormat="1" ht="12" customHeight="1" x14ac:dyDescent="0.2">
      <c r="A86" s="411"/>
      <c r="B86" s="424"/>
      <c r="C86" s="410"/>
      <c r="E86" s="411"/>
      <c r="F86" s="411"/>
      <c r="G86" s="412"/>
      <c r="H86" s="411"/>
      <c r="I86" s="411"/>
      <c r="J86" s="250"/>
      <c r="K86" s="415"/>
      <c r="L86" s="415"/>
      <c r="M86" s="415"/>
      <c r="N86" s="415"/>
      <c r="O86" s="415"/>
      <c r="P86" s="415"/>
      <c r="Q86" s="415"/>
      <c r="R86" s="415"/>
      <c r="S86" s="415"/>
      <c r="T86" s="415"/>
      <c r="U86" s="415"/>
      <c r="V86" s="415"/>
      <c r="W86" s="421"/>
      <c r="X86" s="421"/>
      <c r="Y86" s="415"/>
      <c r="Z86" s="415"/>
      <c r="AA86" s="415"/>
      <c r="AB86" s="415"/>
      <c r="AC86" s="415"/>
      <c r="AD86" s="415"/>
      <c r="AE86" s="415"/>
      <c r="AF86" s="415"/>
      <c r="AG86" s="415"/>
      <c r="AH86" s="415"/>
      <c r="AI86" s="415"/>
      <c r="AJ86" s="542"/>
      <c r="AK86" s="415"/>
      <c r="AL86" s="414"/>
      <c r="AM86" s="466"/>
      <c r="AN86" s="385"/>
      <c r="AO86" s="422"/>
      <c r="AP86" s="411"/>
      <c r="AQ86" s="385"/>
      <c r="AR86" s="384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  <c r="BK86" s="405"/>
      <c r="BM86" s="405"/>
    </row>
    <row r="87" spans="1:65" s="404" customFormat="1" ht="17.25" customHeight="1" x14ac:dyDescent="0.2">
      <c r="A87" s="418"/>
      <c r="C87" s="410"/>
      <c r="E87" s="420" t="s">
        <v>777</v>
      </c>
      <c r="G87" s="419" t="s">
        <v>778</v>
      </c>
      <c r="J87" s="250">
        <v>36374552</v>
      </c>
      <c r="K87" s="405"/>
      <c r="L87" s="405">
        <v>0</v>
      </c>
      <c r="M87" s="405"/>
      <c r="N87" s="405">
        <v>0</v>
      </c>
      <c r="O87" s="405"/>
      <c r="P87" s="405">
        <v>0</v>
      </c>
      <c r="Q87" s="405"/>
      <c r="R87" s="405">
        <v>10379150</v>
      </c>
      <c r="S87" s="405">
        <v>0</v>
      </c>
      <c r="T87" s="405"/>
      <c r="U87" s="405">
        <v>32851667</v>
      </c>
      <c r="V87" s="405"/>
      <c r="X87" s="407"/>
      <c r="Y87" s="405">
        <f t="shared" ref="Y87:Y123" si="24">+IF((J87-AB87)&lt;0,AB87-J87,0)</f>
        <v>0</v>
      </c>
      <c r="Z87" s="405">
        <f t="shared" ref="Z87:Z123" si="25">+IF((J87-AB87)&lt;0,0,J87-AB87)</f>
        <v>6549225</v>
      </c>
      <c r="AA87" s="405"/>
      <c r="AB87" s="405">
        <v>29825327</v>
      </c>
      <c r="AC87" s="405"/>
      <c r="AD87" s="405">
        <v>0</v>
      </c>
      <c r="AE87" s="405"/>
      <c r="AF87" s="451">
        <v>8559562</v>
      </c>
      <c r="AG87" s="405"/>
      <c r="AH87" s="451">
        <v>29825327</v>
      </c>
      <c r="AI87" s="405"/>
      <c r="AJ87" s="543">
        <f t="shared" ref="AJ87:AJ123" si="26">+AB87-AH87</f>
        <v>0</v>
      </c>
      <c r="AK87" s="405"/>
      <c r="AL87" s="466">
        <f t="shared" ref="AL87:AL96" si="27">+AH87/$AL$47</f>
        <v>0.30028127181816539</v>
      </c>
      <c r="AM87" s="466">
        <v>0.20713988525742613</v>
      </c>
      <c r="AN87" s="384">
        <v>-3647539</v>
      </c>
      <c r="AO87" s="406"/>
      <c r="AP87" s="417"/>
      <c r="AQ87" s="384">
        <f t="shared" ref="AQ87:AQ96" si="28">+AF87+AH87</f>
        <v>38384889</v>
      </c>
      <c r="AR87" s="384"/>
      <c r="AS87" s="404">
        <v>17158938</v>
      </c>
      <c r="AT87" s="384">
        <f t="shared" ref="AT87:AT96" si="29">+AU87-AF87</f>
        <v>-3953311</v>
      </c>
      <c r="AU87" s="544">
        <f t="shared" ref="AU87:AU96" si="30">+AV87+AW87</f>
        <v>4606251</v>
      </c>
      <c r="AV87" s="405">
        <v>2480977</v>
      </c>
      <c r="AW87" s="405">
        <v>2125274</v>
      </c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  <c r="BK87" s="405"/>
      <c r="BM87" s="405"/>
    </row>
    <row r="88" spans="1:65" s="404" customFormat="1" ht="17.25" customHeight="1" x14ac:dyDescent="0.2">
      <c r="A88" s="418"/>
      <c r="C88" s="410"/>
      <c r="E88" s="420" t="s">
        <v>779</v>
      </c>
      <c r="G88" s="419" t="s">
        <v>780</v>
      </c>
      <c r="J88" s="250">
        <v>2152835</v>
      </c>
      <c r="K88" s="405"/>
      <c r="L88" s="405">
        <v>0</v>
      </c>
      <c r="M88" s="405"/>
      <c r="N88" s="405">
        <v>0</v>
      </c>
      <c r="O88" s="405"/>
      <c r="P88" s="405">
        <v>0</v>
      </c>
      <c r="Q88" s="405"/>
      <c r="R88" s="405">
        <v>10379150</v>
      </c>
      <c r="S88" s="405">
        <v>0</v>
      </c>
      <c r="T88" s="405"/>
      <c r="U88" s="405">
        <v>32851667</v>
      </c>
      <c r="V88" s="405"/>
      <c r="X88" s="407"/>
      <c r="Y88" s="405">
        <f t="shared" si="24"/>
        <v>0</v>
      </c>
      <c r="Z88" s="405">
        <f t="shared" si="25"/>
        <v>119632.17999999993</v>
      </c>
      <c r="AA88" s="405"/>
      <c r="AB88" s="405">
        <v>2033202.82</v>
      </c>
      <c r="AC88" s="405"/>
      <c r="AD88" s="405">
        <v>0</v>
      </c>
      <c r="AE88" s="405"/>
      <c r="AF88" s="451">
        <v>1146.07</v>
      </c>
      <c r="AG88" s="405"/>
      <c r="AH88" s="451">
        <v>2033202.82</v>
      </c>
      <c r="AI88" s="405"/>
      <c r="AJ88" s="543">
        <f t="shared" si="26"/>
        <v>0</v>
      </c>
      <c r="AK88" s="405"/>
      <c r="AL88" s="466">
        <f t="shared" si="27"/>
        <v>2.0470277782834716E-2</v>
      </c>
      <c r="AM88" s="466">
        <v>1.2461532729596027E-2</v>
      </c>
      <c r="AN88" s="384">
        <v>-199472.22999999998</v>
      </c>
      <c r="AO88" s="406"/>
      <c r="AP88" s="417"/>
      <c r="AQ88" s="384">
        <f t="shared" si="28"/>
        <v>2034348.8900000001</v>
      </c>
      <c r="AR88" s="405"/>
      <c r="AS88" s="404">
        <v>1158802.57</v>
      </c>
      <c r="AT88" s="384">
        <f t="shared" si="29"/>
        <v>272705.75</v>
      </c>
      <c r="AU88" s="544">
        <f t="shared" si="30"/>
        <v>273851.82</v>
      </c>
      <c r="AV88" s="405">
        <v>188843.83</v>
      </c>
      <c r="AW88" s="405">
        <v>85007.99</v>
      </c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  <c r="BK88" s="405"/>
      <c r="BM88" s="405"/>
    </row>
    <row r="89" spans="1:65" s="404" customFormat="1" ht="17.25" customHeight="1" x14ac:dyDescent="0.2">
      <c r="A89" s="418"/>
      <c r="C89" s="410"/>
      <c r="E89" s="420" t="s">
        <v>781</v>
      </c>
      <c r="G89" s="419" t="s">
        <v>782</v>
      </c>
      <c r="J89" s="250">
        <v>1826512</v>
      </c>
      <c r="K89" s="405"/>
      <c r="L89" s="405">
        <v>0</v>
      </c>
      <c r="M89" s="405"/>
      <c r="N89" s="405">
        <v>0</v>
      </c>
      <c r="O89" s="405"/>
      <c r="P89" s="405">
        <v>0</v>
      </c>
      <c r="Q89" s="405"/>
      <c r="R89" s="405">
        <v>10379150</v>
      </c>
      <c r="S89" s="405">
        <v>0</v>
      </c>
      <c r="T89" s="405"/>
      <c r="U89" s="405">
        <v>32851667</v>
      </c>
      <c r="V89" s="405"/>
      <c r="X89" s="407"/>
      <c r="Y89" s="405">
        <f t="shared" si="24"/>
        <v>0</v>
      </c>
      <c r="Z89" s="405">
        <f t="shared" si="25"/>
        <v>439473.6399999999</v>
      </c>
      <c r="AA89" s="405"/>
      <c r="AB89" s="405">
        <v>1387038.36</v>
      </c>
      <c r="AC89" s="405"/>
      <c r="AD89" s="405">
        <v>0</v>
      </c>
      <c r="AE89" s="405"/>
      <c r="AF89" s="451">
        <v>353188.96</v>
      </c>
      <c r="AG89" s="405"/>
      <c r="AH89" s="451">
        <v>1387038.36</v>
      </c>
      <c r="AI89" s="405"/>
      <c r="AJ89" s="543">
        <f t="shared" si="26"/>
        <v>0</v>
      </c>
      <c r="AK89" s="405"/>
      <c r="AL89" s="466">
        <f t="shared" si="27"/>
        <v>1.396469660840206E-2</v>
      </c>
      <c r="AM89" s="466">
        <v>1.2830855414611425E-2</v>
      </c>
      <c r="AN89" s="384">
        <v>29639</v>
      </c>
      <c r="AO89" s="406"/>
      <c r="AP89" s="417"/>
      <c r="AQ89" s="384">
        <f t="shared" si="28"/>
        <v>1740227.32</v>
      </c>
      <c r="AR89" s="405"/>
      <c r="AS89" s="404">
        <v>481438.2</v>
      </c>
      <c r="AT89" s="384">
        <f t="shared" si="29"/>
        <v>-341588.96</v>
      </c>
      <c r="AU89" s="544">
        <f t="shared" si="30"/>
        <v>11600</v>
      </c>
      <c r="AV89" s="405">
        <v>11600</v>
      </c>
      <c r="AW89" s="405">
        <v>0</v>
      </c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  <c r="BK89" s="405"/>
      <c r="BM89" s="405"/>
    </row>
    <row r="90" spans="1:65" s="404" customFormat="1" ht="17.25" customHeight="1" x14ac:dyDescent="0.2">
      <c r="A90" s="418"/>
      <c r="C90" s="410"/>
      <c r="E90" s="420" t="s">
        <v>783</v>
      </c>
      <c r="G90" s="419" t="s">
        <v>784</v>
      </c>
      <c r="J90" s="250">
        <v>3412300</v>
      </c>
      <c r="K90" s="405"/>
      <c r="L90" s="405">
        <v>0</v>
      </c>
      <c r="M90" s="405"/>
      <c r="N90" s="405">
        <v>0</v>
      </c>
      <c r="O90" s="405"/>
      <c r="P90" s="405">
        <v>0</v>
      </c>
      <c r="Q90" s="405"/>
      <c r="R90" s="405">
        <v>10379150</v>
      </c>
      <c r="S90" s="405">
        <v>0</v>
      </c>
      <c r="T90" s="405"/>
      <c r="U90" s="405">
        <v>32851667</v>
      </c>
      <c r="V90" s="405"/>
      <c r="X90" s="407"/>
      <c r="Y90" s="405">
        <f t="shared" si="24"/>
        <v>0</v>
      </c>
      <c r="Z90" s="405">
        <f t="shared" si="25"/>
        <v>418124.95000000019</v>
      </c>
      <c r="AA90" s="405"/>
      <c r="AB90" s="405">
        <v>2994175.05</v>
      </c>
      <c r="AC90" s="405"/>
      <c r="AD90" s="405">
        <v>0</v>
      </c>
      <c r="AE90" s="405"/>
      <c r="AF90" s="451">
        <v>623280.31999999995</v>
      </c>
      <c r="AG90" s="405"/>
      <c r="AH90" s="451">
        <v>2994175.05</v>
      </c>
      <c r="AI90" s="405"/>
      <c r="AJ90" s="543">
        <f t="shared" si="26"/>
        <v>0</v>
      </c>
      <c r="AK90" s="405"/>
      <c r="AL90" s="466">
        <f t="shared" si="27"/>
        <v>3.0145342314611297E-2</v>
      </c>
      <c r="AM90" s="466">
        <v>1.9732491011499608E-2</v>
      </c>
      <c r="AN90" s="384">
        <v>-177875.79000000004</v>
      </c>
      <c r="AO90" s="406"/>
      <c r="AP90" s="417"/>
      <c r="AQ90" s="384">
        <f t="shared" si="28"/>
        <v>3617455.3699999996</v>
      </c>
      <c r="AR90" s="405"/>
      <c r="AS90" s="404">
        <v>1589706.5899999999</v>
      </c>
      <c r="AT90" s="384">
        <f t="shared" si="29"/>
        <v>100469</v>
      </c>
      <c r="AU90" s="544">
        <f t="shared" si="30"/>
        <v>723749.32</v>
      </c>
      <c r="AV90" s="405">
        <v>487241.42</v>
      </c>
      <c r="AW90" s="405">
        <v>236507.9</v>
      </c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  <c r="BK90" s="405"/>
      <c r="BM90" s="405"/>
    </row>
    <row r="91" spans="1:65" s="404" customFormat="1" ht="17.25" customHeight="1" x14ac:dyDescent="0.2">
      <c r="A91" s="418"/>
      <c r="C91" s="410"/>
      <c r="E91" s="420" t="s">
        <v>785</v>
      </c>
      <c r="G91" s="419" t="s">
        <v>786</v>
      </c>
      <c r="J91" s="250">
        <v>13719</v>
      </c>
      <c r="K91" s="405"/>
      <c r="L91" s="405">
        <v>0</v>
      </c>
      <c r="M91" s="405"/>
      <c r="N91" s="405">
        <v>0</v>
      </c>
      <c r="O91" s="405"/>
      <c r="P91" s="405">
        <v>0</v>
      </c>
      <c r="Q91" s="405"/>
      <c r="R91" s="405">
        <v>10379150</v>
      </c>
      <c r="S91" s="405">
        <v>0</v>
      </c>
      <c r="T91" s="405"/>
      <c r="U91" s="405">
        <v>32851667</v>
      </c>
      <c r="V91" s="405"/>
      <c r="X91" s="407"/>
      <c r="Y91" s="405">
        <f t="shared" si="24"/>
        <v>9190</v>
      </c>
      <c r="Z91" s="405">
        <f t="shared" si="25"/>
        <v>0</v>
      </c>
      <c r="AA91" s="405"/>
      <c r="AB91" s="405">
        <v>22909</v>
      </c>
      <c r="AC91" s="405"/>
      <c r="AD91" s="405">
        <v>0</v>
      </c>
      <c r="AE91" s="405"/>
      <c r="AF91" s="451">
        <v>14794</v>
      </c>
      <c r="AG91" s="405"/>
      <c r="AH91" s="451">
        <v>22909</v>
      </c>
      <c r="AI91" s="405"/>
      <c r="AJ91" s="543">
        <f t="shared" si="26"/>
        <v>0</v>
      </c>
      <c r="AK91" s="405"/>
      <c r="AL91" s="466">
        <f t="shared" si="27"/>
        <v>2.3064771950638969E-4</v>
      </c>
      <c r="AM91" s="466">
        <v>9.3461206520486075E-5</v>
      </c>
      <c r="AN91" s="384">
        <v>-2384</v>
      </c>
      <c r="AO91" s="406"/>
      <c r="AP91" s="417"/>
      <c r="AQ91" s="384">
        <f t="shared" si="28"/>
        <v>37703</v>
      </c>
      <c r="AR91" s="405"/>
      <c r="AS91" s="404">
        <v>4811</v>
      </c>
      <c r="AT91" s="384">
        <f t="shared" si="29"/>
        <v>-13827</v>
      </c>
      <c r="AU91" s="544">
        <f t="shared" si="30"/>
        <v>967</v>
      </c>
      <c r="AV91" s="405">
        <v>967</v>
      </c>
      <c r="AW91" s="405">
        <v>0</v>
      </c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  <c r="BK91" s="405"/>
      <c r="BM91" s="405"/>
    </row>
    <row r="92" spans="1:65" s="404" customFormat="1" ht="17.25" customHeight="1" x14ac:dyDescent="0.2">
      <c r="A92" s="418"/>
      <c r="C92" s="410"/>
      <c r="E92" s="420" t="s">
        <v>787</v>
      </c>
      <c r="G92" s="419" t="s">
        <v>788</v>
      </c>
      <c r="J92" s="250">
        <v>1239512</v>
      </c>
      <c r="K92" s="405"/>
      <c r="L92" s="405">
        <v>0</v>
      </c>
      <c r="M92" s="405"/>
      <c r="N92" s="405">
        <v>0</v>
      </c>
      <c r="O92" s="405"/>
      <c r="P92" s="405">
        <v>0</v>
      </c>
      <c r="Q92" s="405"/>
      <c r="R92" s="405">
        <v>10379150</v>
      </c>
      <c r="S92" s="405">
        <v>0</v>
      </c>
      <c r="T92" s="405"/>
      <c r="U92" s="405">
        <v>32851667</v>
      </c>
      <c r="V92" s="405"/>
      <c r="X92" s="407"/>
      <c r="Y92" s="405">
        <f t="shared" si="24"/>
        <v>202337.27000000002</v>
      </c>
      <c r="Z92" s="405">
        <f t="shared" si="25"/>
        <v>0</v>
      </c>
      <c r="AA92" s="405"/>
      <c r="AB92" s="405">
        <v>1441849.27</v>
      </c>
      <c r="AC92" s="405"/>
      <c r="AD92" s="405"/>
      <c r="AE92" s="405"/>
      <c r="AF92" s="451">
        <v>399073.74</v>
      </c>
      <c r="AG92" s="405"/>
      <c r="AH92" s="451">
        <v>1441849.27</v>
      </c>
      <c r="AI92" s="405"/>
      <c r="AJ92" s="543">
        <f t="shared" si="26"/>
        <v>0</v>
      </c>
      <c r="AK92" s="405"/>
      <c r="AL92" s="466">
        <f t="shared" si="27"/>
        <v>1.4516532628986544E-2</v>
      </c>
      <c r="AM92" s="466">
        <v>1.739612314458237E-2</v>
      </c>
      <c r="AN92" s="384">
        <v>-213816.04999999981</v>
      </c>
      <c r="AO92" s="406"/>
      <c r="AP92" s="417"/>
      <c r="AQ92" s="384">
        <f t="shared" si="28"/>
        <v>1840923.01</v>
      </c>
      <c r="AR92" s="405"/>
      <c r="AS92" s="404">
        <v>645762.52</v>
      </c>
      <c r="AT92" s="384">
        <f t="shared" si="29"/>
        <v>22892.679999999993</v>
      </c>
      <c r="AU92" s="544">
        <f t="shared" si="30"/>
        <v>421966.42</v>
      </c>
      <c r="AV92" s="405">
        <v>229758.58</v>
      </c>
      <c r="AW92" s="405">
        <v>192207.84</v>
      </c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  <c r="BK92" s="405"/>
      <c r="BM92" s="405"/>
    </row>
    <row r="93" spans="1:65" s="404" customFormat="1" ht="17.25" customHeight="1" x14ac:dyDescent="0.2">
      <c r="A93" s="418"/>
      <c r="C93" s="410"/>
      <c r="E93" s="420" t="s">
        <v>789</v>
      </c>
      <c r="G93" s="419" t="s">
        <v>790</v>
      </c>
      <c r="J93" s="250">
        <v>215504</v>
      </c>
      <c r="K93" s="405"/>
      <c r="L93" s="405">
        <v>0</v>
      </c>
      <c r="M93" s="405"/>
      <c r="N93" s="405">
        <v>0</v>
      </c>
      <c r="O93" s="405"/>
      <c r="P93" s="405">
        <v>0</v>
      </c>
      <c r="Q93" s="405"/>
      <c r="R93" s="405">
        <v>10379150</v>
      </c>
      <c r="S93" s="405">
        <v>0</v>
      </c>
      <c r="T93" s="405"/>
      <c r="U93" s="405">
        <v>32851667</v>
      </c>
      <c r="V93" s="405"/>
      <c r="X93" s="407"/>
      <c r="Y93" s="405">
        <f t="shared" si="24"/>
        <v>108562.19</v>
      </c>
      <c r="Z93" s="405">
        <f t="shared" si="25"/>
        <v>0</v>
      </c>
      <c r="AA93" s="405"/>
      <c r="AB93" s="405">
        <v>324066.19</v>
      </c>
      <c r="AC93" s="405"/>
      <c r="AD93" s="405"/>
      <c r="AE93" s="405"/>
      <c r="AF93" s="451">
        <v>61016</v>
      </c>
      <c r="AG93" s="405"/>
      <c r="AH93" s="451">
        <v>324066.19</v>
      </c>
      <c r="AI93" s="405"/>
      <c r="AJ93" s="543">
        <f t="shared" si="26"/>
        <v>0</v>
      </c>
      <c r="AK93" s="405"/>
      <c r="AL93" s="466">
        <f t="shared" si="27"/>
        <v>3.2626970925236538E-3</v>
      </c>
      <c r="AM93" s="466">
        <v>1.5806189853452329E-3</v>
      </c>
      <c r="AN93" s="384">
        <v>-17702.200000000012</v>
      </c>
      <c r="AO93" s="406"/>
      <c r="AP93" s="417"/>
      <c r="AQ93" s="384">
        <f t="shared" si="28"/>
        <v>385082.19</v>
      </c>
      <c r="AR93" s="405"/>
      <c r="AS93" s="404">
        <v>112853.39</v>
      </c>
      <c r="AT93" s="384">
        <f t="shared" si="29"/>
        <v>-29835.200000000001</v>
      </c>
      <c r="AU93" s="544">
        <f t="shared" si="30"/>
        <v>31180.799999999999</v>
      </c>
      <c r="AV93" s="405">
        <v>15590.4</v>
      </c>
      <c r="AW93" s="405">
        <v>15590.4</v>
      </c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  <c r="BK93" s="405"/>
      <c r="BM93" s="405"/>
    </row>
    <row r="94" spans="1:65" s="404" customFormat="1" ht="17.25" customHeight="1" x14ac:dyDescent="0.2">
      <c r="A94" s="418"/>
      <c r="C94" s="410"/>
      <c r="E94" s="420" t="s">
        <v>791</v>
      </c>
      <c r="G94" s="419" t="s">
        <v>792</v>
      </c>
      <c r="J94" s="250">
        <v>2250000</v>
      </c>
      <c r="K94" s="405"/>
      <c r="L94" s="405">
        <v>0</v>
      </c>
      <c r="M94" s="405"/>
      <c r="N94" s="405">
        <v>0</v>
      </c>
      <c r="O94" s="405"/>
      <c r="P94" s="405">
        <v>0</v>
      </c>
      <c r="Q94" s="405"/>
      <c r="R94" s="405">
        <v>10379150</v>
      </c>
      <c r="S94" s="405">
        <v>0</v>
      </c>
      <c r="T94" s="405"/>
      <c r="U94" s="405">
        <v>32851667</v>
      </c>
      <c r="V94" s="405"/>
      <c r="X94" s="407"/>
      <c r="Y94" s="405">
        <f t="shared" si="24"/>
        <v>0</v>
      </c>
      <c r="Z94" s="405">
        <f t="shared" si="25"/>
        <v>402827.73</v>
      </c>
      <c r="AA94" s="405"/>
      <c r="AB94" s="405">
        <v>1847172.27</v>
      </c>
      <c r="AC94" s="405"/>
      <c r="AD94" s="405"/>
      <c r="AE94" s="405"/>
      <c r="AF94" s="451">
        <v>644299.56999999995</v>
      </c>
      <c r="AG94" s="405"/>
      <c r="AH94" s="451">
        <v>1847172.27</v>
      </c>
      <c r="AI94" s="405"/>
      <c r="AJ94" s="543">
        <f t="shared" si="26"/>
        <v>0</v>
      </c>
      <c r="AK94" s="405"/>
      <c r="AL94" s="466">
        <f t="shared" si="27"/>
        <v>1.8597322956521067E-2</v>
      </c>
      <c r="AM94" s="466">
        <v>1.3499626073623155E-2</v>
      </c>
      <c r="AN94" s="384">
        <v>-264651.08999999985</v>
      </c>
      <c r="AO94" s="406"/>
      <c r="AP94" s="417"/>
      <c r="AQ94" s="384">
        <f t="shared" si="28"/>
        <v>2491471.84</v>
      </c>
      <c r="AR94" s="405"/>
      <c r="AS94" s="404">
        <v>856571.35000000009</v>
      </c>
      <c r="AT94" s="384">
        <f t="shared" si="29"/>
        <v>-251044.37999999995</v>
      </c>
      <c r="AU94" s="544">
        <f t="shared" si="30"/>
        <v>393255.19</v>
      </c>
      <c r="AV94" s="405">
        <v>92007.25</v>
      </c>
      <c r="AW94" s="405">
        <v>301247.94</v>
      </c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  <c r="BK94" s="405"/>
      <c r="BM94" s="405"/>
    </row>
    <row r="95" spans="1:65" s="404" customFormat="1" ht="17.25" customHeight="1" x14ac:dyDescent="0.2">
      <c r="A95" s="418"/>
      <c r="C95" s="410"/>
      <c r="E95" s="420" t="s">
        <v>793</v>
      </c>
      <c r="G95" s="419" t="s">
        <v>794</v>
      </c>
      <c r="J95" s="250">
        <v>436835</v>
      </c>
      <c r="K95" s="405"/>
      <c r="L95" s="405">
        <v>0</v>
      </c>
      <c r="M95" s="405"/>
      <c r="N95" s="405">
        <v>0</v>
      </c>
      <c r="O95" s="405"/>
      <c r="P95" s="405">
        <v>0</v>
      </c>
      <c r="Q95" s="405"/>
      <c r="R95" s="405">
        <v>10379150</v>
      </c>
      <c r="S95" s="405">
        <v>0</v>
      </c>
      <c r="T95" s="405"/>
      <c r="U95" s="405">
        <v>32851667</v>
      </c>
      <c r="V95" s="405"/>
      <c r="X95" s="407"/>
      <c r="Y95" s="405">
        <f t="shared" si="24"/>
        <v>60018.31</v>
      </c>
      <c r="Z95" s="405">
        <f t="shared" si="25"/>
        <v>0</v>
      </c>
      <c r="AA95" s="405"/>
      <c r="AB95" s="405">
        <v>496853.31</v>
      </c>
      <c r="AC95" s="405"/>
      <c r="AD95" s="405"/>
      <c r="AE95" s="405"/>
      <c r="AF95" s="451">
        <v>145401.37</v>
      </c>
      <c r="AG95" s="405"/>
      <c r="AH95" s="451">
        <v>496853.31</v>
      </c>
      <c r="AI95" s="405"/>
      <c r="AJ95" s="543">
        <f t="shared" si="26"/>
        <v>0</v>
      </c>
      <c r="AK95" s="405"/>
      <c r="AL95" s="466">
        <f t="shared" si="27"/>
        <v>5.0023171190667981E-3</v>
      </c>
      <c r="AM95" s="466">
        <v>3.750331516454057E-3</v>
      </c>
      <c r="AN95" s="384">
        <v>-3736.5799999999581</v>
      </c>
      <c r="AO95" s="406"/>
      <c r="AP95" s="417"/>
      <c r="AQ95" s="384">
        <f t="shared" si="28"/>
        <v>642254.67999999993</v>
      </c>
      <c r="AR95" s="405"/>
      <c r="AS95" s="404">
        <v>287012.65999999997</v>
      </c>
      <c r="AT95" s="384">
        <f t="shared" si="29"/>
        <v>-115447.26999999999</v>
      </c>
      <c r="AU95" s="544">
        <f t="shared" si="30"/>
        <v>29954.1</v>
      </c>
      <c r="AV95" s="405">
        <v>2744.33</v>
      </c>
      <c r="AW95" s="405">
        <v>27209.77</v>
      </c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  <c r="BK95" s="405"/>
      <c r="BM95" s="405"/>
    </row>
    <row r="96" spans="1:65" s="404" customFormat="1" ht="17.25" customHeight="1" x14ac:dyDescent="0.2">
      <c r="A96" s="418"/>
      <c r="C96" s="410"/>
      <c r="E96" s="420" t="s">
        <v>795</v>
      </c>
      <c r="G96" s="419" t="s">
        <v>796</v>
      </c>
      <c r="J96" s="250">
        <v>16234564</v>
      </c>
      <c r="K96" s="405"/>
      <c r="L96" s="405">
        <v>0</v>
      </c>
      <c r="M96" s="405"/>
      <c r="N96" s="405">
        <v>0</v>
      </c>
      <c r="O96" s="405"/>
      <c r="P96" s="405">
        <v>0</v>
      </c>
      <c r="Q96" s="405"/>
      <c r="R96" s="405">
        <v>10379150</v>
      </c>
      <c r="S96" s="405">
        <v>0</v>
      </c>
      <c r="T96" s="405"/>
      <c r="U96" s="405">
        <v>32851667</v>
      </c>
      <c r="V96" s="405"/>
      <c r="X96" s="407"/>
      <c r="Y96" s="405">
        <f t="shared" si="24"/>
        <v>0</v>
      </c>
      <c r="Z96" s="405">
        <f t="shared" si="25"/>
        <v>4906379</v>
      </c>
      <c r="AA96" s="405"/>
      <c r="AB96" s="405">
        <v>11328185</v>
      </c>
      <c r="AC96" s="405"/>
      <c r="AD96" s="405"/>
      <c r="AE96" s="405"/>
      <c r="AF96" s="451">
        <v>3690888</v>
      </c>
      <c r="AG96" s="405"/>
      <c r="AH96" s="451">
        <v>11328185</v>
      </c>
      <c r="AI96" s="405"/>
      <c r="AJ96" s="543">
        <f t="shared" si="26"/>
        <v>0</v>
      </c>
      <c r="AK96" s="405"/>
      <c r="AL96" s="466">
        <f t="shared" si="27"/>
        <v>0.1140521208431835</v>
      </c>
      <c r="AM96" s="466">
        <v>7.9166383948950064E-2</v>
      </c>
      <c r="AN96" s="384">
        <v>-1597299</v>
      </c>
      <c r="AO96" s="406"/>
      <c r="AP96" s="417"/>
      <c r="AQ96" s="384">
        <f t="shared" si="28"/>
        <v>15019073</v>
      </c>
      <c r="AR96" s="405"/>
      <c r="AS96" s="404">
        <v>6103197</v>
      </c>
      <c r="AT96" s="384">
        <f t="shared" si="29"/>
        <v>-1763691</v>
      </c>
      <c r="AU96" s="544">
        <f t="shared" si="30"/>
        <v>1927197</v>
      </c>
      <c r="AV96" s="404">
        <v>1221917</v>
      </c>
      <c r="AW96" s="404">
        <v>705280</v>
      </c>
    </row>
    <row r="97" spans="1:49" s="404" customFormat="1" ht="17.25" customHeight="1" x14ac:dyDescent="0.2">
      <c r="A97" s="418"/>
      <c r="C97" s="410"/>
      <c r="E97" s="420">
        <v>32601</v>
      </c>
      <c r="G97" s="419" t="s">
        <v>961</v>
      </c>
      <c r="J97" s="250">
        <v>0</v>
      </c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X97" s="407"/>
      <c r="Y97" s="405">
        <f t="shared" si="24"/>
        <v>6529.49</v>
      </c>
      <c r="Z97" s="405">
        <f t="shared" si="25"/>
        <v>0</v>
      </c>
      <c r="AA97" s="405"/>
      <c r="AB97" s="405">
        <v>6529.49</v>
      </c>
      <c r="AC97" s="405"/>
      <c r="AD97" s="405"/>
      <c r="AE97" s="405"/>
      <c r="AF97" s="451">
        <v>3515.88</v>
      </c>
      <c r="AG97" s="405"/>
      <c r="AH97" s="451">
        <v>6529.49</v>
      </c>
      <c r="AI97" s="405"/>
      <c r="AJ97" s="543">
        <f t="shared" si="26"/>
        <v>0</v>
      </c>
      <c r="AK97" s="405"/>
      <c r="AL97" s="466"/>
      <c r="AM97" s="466"/>
      <c r="AN97" s="384"/>
      <c r="AO97" s="406"/>
      <c r="AP97" s="417"/>
      <c r="AQ97" s="384"/>
      <c r="AR97" s="405"/>
      <c r="AS97" s="404">
        <v>0</v>
      </c>
      <c r="AT97" s="384"/>
      <c r="AU97" s="544"/>
    </row>
    <row r="98" spans="1:49" s="404" customFormat="1" ht="17.25" customHeight="1" x14ac:dyDescent="0.2">
      <c r="A98" s="418"/>
      <c r="C98" s="410"/>
      <c r="E98" s="420" t="s">
        <v>797</v>
      </c>
      <c r="G98" s="419" t="s">
        <v>689</v>
      </c>
      <c r="J98" s="250">
        <v>364497</v>
      </c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X98" s="407"/>
      <c r="Y98" s="405">
        <f t="shared" si="24"/>
        <v>3862.1599999999744</v>
      </c>
      <c r="Z98" s="405">
        <f t="shared" si="25"/>
        <v>0</v>
      </c>
      <c r="AA98" s="405"/>
      <c r="AB98" s="405">
        <v>368359.16</v>
      </c>
      <c r="AC98" s="405"/>
      <c r="AD98" s="405"/>
      <c r="AE98" s="405"/>
      <c r="AF98" s="451">
        <v>357129.2</v>
      </c>
      <c r="AG98" s="405"/>
      <c r="AH98" s="451">
        <v>368359.16</v>
      </c>
      <c r="AI98" s="405"/>
      <c r="AJ98" s="543">
        <f t="shared" si="26"/>
        <v>0</v>
      </c>
      <c r="AK98" s="405"/>
      <c r="AL98" s="466"/>
      <c r="AM98" s="466"/>
      <c r="AN98" s="384">
        <v>-264496.98</v>
      </c>
      <c r="AO98" s="406"/>
      <c r="AP98" s="417"/>
      <c r="AQ98" s="384">
        <f>+AF98+AH98</f>
        <v>725488.36</v>
      </c>
      <c r="AR98" s="405"/>
      <c r="AS98" s="404">
        <v>0</v>
      </c>
      <c r="AT98" s="384">
        <f>+AU98-AF98</f>
        <v>-357129.2</v>
      </c>
      <c r="AU98" s="544">
        <f>+AV98+AW98</f>
        <v>0</v>
      </c>
      <c r="AV98" s="404">
        <v>0</v>
      </c>
      <c r="AW98" s="404">
        <v>0</v>
      </c>
    </row>
    <row r="99" spans="1:49" s="404" customFormat="1" ht="17.25" customHeight="1" x14ac:dyDescent="0.2">
      <c r="A99" s="418"/>
      <c r="C99" s="410"/>
      <c r="E99" s="420" t="s">
        <v>798</v>
      </c>
      <c r="G99" s="419" t="s">
        <v>799</v>
      </c>
      <c r="J99" s="250">
        <v>1923903.62</v>
      </c>
      <c r="K99" s="405"/>
      <c r="L99" s="405">
        <v>0</v>
      </c>
      <c r="M99" s="405"/>
      <c r="N99" s="405">
        <v>0</v>
      </c>
      <c r="O99" s="405"/>
      <c r="P99" s="405">
        <v>0</v>
      </c>
      <c r="Q99" s="405"/>
      <c r="R99" s="405">
        <v>10379150</v>
      </c>
      <c r="S99" s="405">
        <v>0</v>
      </c>
      <c r="T99" s="405"/>
      <c r="U99" s="405">
        <v>32851667</v>
      </c>
      <c r="V99" s="405"/>
      <c r="X99" s="407"/>
      <c r="Y99" s="405">
        <f t="shared" si="24"/>
        <v>0</v>
      </c>
      <c r="Z99" s="405">
        <f t="shared" si="25"/>
        <v>1470673.62</v>
      </c>
      <c r="AA99" s="405"/>
      <c r="AB99" s="405">
        <v>453230</v>
      </c>
      <c r="AC99" s="405"/>
      <c r="AD99" s="405"/>
      <c r="AE99" s="405"/>
      <c r="AF99" s="451">
        <v>297870.59999999998</v>
      </c>
      <c r="AG99" s="405"/>
      <c r="AH99" s="451">
        <v>453230</v>
      </c>
      <c r="AI99" s="405"/>
      <c r="AJ99" s="543">
        <f t="shared" si="26"/>
        <v>0</v>
      </c>
      <c r="AK99" s="405"/>
      <c r="AL99" s="466">
        <f>+AH99/$AL$47</f>
        <v>4.5631178101130992E-3</v>
      </c>
      <c r="AM99" s="466">
        <v>8.0234034512804264E-3</v>
      </c>
      <c r="AN99" s="384">
        <v>83894.400000000023</v>
      </c>
      <c r="AO99" s="406"/>
      <c r="AP99" s="417"/>
      <c r="AQ99" s="384">
        <f>+AF99+AH99</f>
        <v>751100.6</v>
      </c>
      <c r="AR99" s="405"/>
      <c r="AS99" s="404">
        <v>56927</v>
      </c>
      <c r="AT99" s="384">
        <f>+AU99-AF99</f>
        <v>-275163.59999999998</v>
      </c>
      <c r="AU99" s="544">
        <f>+AV99+AW99</f>
        <v>22707</v>
      </c>
      <c r="AV99" s="404">
        <v>0</v>
      </c>
      <c r="AW99" s="404">
        <v>22707</v>
      </c>
    </row>
    <row r="100" spans="1:49" s="404" customFormat="1" ht="17.25" customHeight="1" x14ac:dyDescent="0.2">
      <c r="A100" s="418"/>
      <c r="C100" s="410"/>
      <c r="E100" s="420" t="s">
        <v>800</v>
      </c>
      <c r="G100" s="419" t="s">
        <v>801</v>
      </c>
      <c r="J100" s="250">
        <v>1791721</v>
      </c>
      <c r="K100" s="405"/>
      <c r="L100" s="405">
        <v>0</v>
      </c>
      <c r="M100" s="405"/>
      <c r="N100" s="405">
        <v>0</v>
      </c>
      <c r="O100" s="405"/>
      <c r="P100" s="405">
        <v>0</v>
      </c>
      <c r="Q100" s="405"/>
      <c r="R100" s="405">
        <v>10379150</v>
      </c>
      <c r="S100" s="405">
        <v>0</v>
      </c>
      <c r="T100" s="405"/>
      <c r="U100" s="405">
        <v>32851667</v>
      </c>
      <c r="V100" s="405"/>
      <c r="X100" s="407"/>
      <c r="Y100" s="405">
        <f t="shared" si="24"/>
        <v>1683457.0899999999</v>
      </c>
      <c r="Z100" s="405">
        <f t="shared" si="25"/>
        <v>0</v>
      </c>
      <c r="AA100" s="405"/>
      <c r="AB100" s="405">
        <v>3475178.09</v>
      </c>
      <c r="AC100" s="405"/>
      <c r="AD100" s="405"/>
      <c r="AE100" s="405"/>
      <c r="AF100" s="451">
        <v>735177.37</v>
      </c>
      <c r="AG100" s="405"/>
      <c r="AH100" s="451">
        <v>3475178.09</v>
      </c>
      <c r="AI100" s="405"/>
      <c r="AJ100" s="543">
        <f t="shared" si="26"/>
        <v>0</v>
      </c>
      <c r="AK100" s="405"/>
      <c r="AL100" s="466">
        <f>+AH100/$AL$47</f>
        <v>3.498807897931254E-2</v>
      </c>
      <c r="AM100" s="466">
        <v>1.6589249583592227E-2</v>
      </c>
      <c r="AN100" s="384">
        <v>70254.639999999665</v>
      </c>
      <c r="AO100" s="406"/>
      <c r="AP100" s="417"/>
      <c r="AQ100" s="384">
        <f>+AF100+AH100</f>
        <v>4210355.46</v>
      </c>
      <c r="AR100" s="405"/>
      <c r="AS100" s="404">
        <v>2254000.56</v>
      </c>
      <c r="AT100" s="384">
        <f>+AU100-AF100</f>
        <v>240823.19000000006</v>
      </c>
      <c r="AU100" s="544">
        <f>+AV100+AW100</f>
        <v>976000.56</v>
      </c>
      <c r="AV100" s="404">
        <v>290000</v>
      </c>
      <c r="AW100" s="404">
        <v>686000.56</v>
      </c>
    </row>
    <row r="101" spans="1:49" s="404" customFormat="1" ht="17.25" customHeight="1" x14ac:dyDescent="0.2">
      <c r="A101" s="418"/>
      <c r="C101" s="410"/>
      <c r="E101" s="420">
        <v>33201</v>
      </c>
      <c r="G101" s="419" t="s">
        <v>902</v>
      </c>
      <c r="J101" s="250">
        <v>0</v>
      </c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X101" s="407"/>
      <c r="Y101" s="405">
        <f t="shared" si="24"/>
        <v>34800</v>
      </c>
      <c r="Z101" s="405">
        <f t="shared" si="25"/>
        <v>0</v>
      </c>
      <c r="AA101" s="405"/>
      <c r="AB101" s="405">
        <v>34800</v>
      </c>
      <c r="AC101" s="405"/>
      <c r="AD101" s="405"/>
      <c r="AE101" s="405"/>
      <c r="AF101" s="451">
        <v>0</v>
      </c>
      <c r="AG101" s="405"/>
      <c r="AH101" s="451">
        <v>34800</v>
      </c>
      <c r="AI101" s="405"/>
      <c r="AJ101" s="543">
        <f t="shared" si="26"/>
        <v>0</v>
      </c>
      <c r="AK101" s="405"/>
      <c r="AL101" s="466"/>
      <c r="AM101" s="466"/>
      <c r="AN101" s="384"/>
      <c r="AO101" s="406"/>
      <c r="AP101" s="417"/>
      <c r="AQ101" s="384"/>
      <c r="AR101" s="405"/>
      <c r="AS101" s="404">
        <v>34800</v>
      </c>
      <c r="AT101" s="384">
        <f>+AU101-AF101</f>
        <v>0</v>
      </c>
      <c r="AU101" s="544">
        <f>+AV101+AW101</f>
        <v>0</v>
      </c>
      <c r="AV101" s="404">
        <v>0</v>
      </c>
      <c r="AW101" s="404">
        <v>0</v>
      </c>
    </row>
    <row r="102" spans="1:49" s="404" customFormat="1" ht="17.25" customHeight="1" x14ac:dyDescent="0.2">
      <c r="A102" s="418"/>
      <c r="C102" s="410"/>
      <c r="E102" s="420">
        <v>33301</v>
      </c>
      <c r="G102" s="419" t="s">
        <v>801</v>
      </c>
      <c r="J102" s="250">
        <v>0</v>
      </c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X102" s="407"/>
      <c r="Y102" s="405">
        <f t="shared" si="24"/>
        <v>2179540</v>
      </c>
      <c r="Z102" s="405">
        <f t="shared" si="25"/>
        <v>0</v>
      </c>
      <c r="AA102" s="405"/>
      <c r="AB102" s="405">
        <v>2179540</v>
      </c>
      <c r="AC102" s="405"/>
      <c r="AD102" s="405"/>
      <c r="AE102" s="405"/>
      <c r="AF102" s="451">
        <v>2179540</v>
      </c>
      <c r="AG102" s="405"/>
      <c r="AH102" s="451">
        <v>2179540</v>
      </c>
      <c r="AI102" s="405"/>
      <c r="AJ102" s="543">
        <f t="shared" si="26"/>
        <v>0</v>
      </c>
      <c r="AK102" s="405"/>
      <c r="AL102" s="466"/>
      <c r="AM102" s="466"/>
      <c r="AN102" s="384"/>
      <c r="AO102" s="406"/>
      <c r="AP102" s="417"/>
      <c r="AQ102" s="384"/>
      <c r="AR102" s="405"/>
      <c r="AT102" s="384"/>
      <c r="AU102" s="544"/>
    </row>
    <row r="103" spans="1:49" s="404" customFormat="1" ht="17.25" customHeight="1" x14ac:dyDescent="0.2">
      <c r="A103" s="418"/>
      <c r="C103" s="410"/>
      <c r="E103" s="420" t="s">
        <v>802</v>
      </c>
      <c r="G103" s="419" t="s">
        <v>803</v>
      </c>
      <c r="J103" s="250">
        <v>331477</v>
      </c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X103" s="407"/>
      <c r="Y103" s="405">
        <f t="shared" si="24"/>
        <v>5579160.5499999998</v>
      </c>
      <c r="Z103" s="405">
        <f t="shared" si="25"/>
        <v>0</v>
      </c>
      <c r="AA103" s="405"/>
      <c r="AB103" s="405">
        <v>5910637.5499999998</v>
      </c>
      <c r="AC103" s="405"/>
      <c r="AD103" s="405"/>
      <c r="AE103" s="405"/>
      <c r="AF103" s="451">
        <v>5245593.1100000003</v>
      </c>
      <c r="AG103" s="405"/>
      <c r="AH103" s="451">
        <v>5910637.5499999998</v>
      </c>
      <c r="AI103" s="405"/>
      <c r="AJ103" s="543">
        <f t="shared" si="26"/>
        <v>0</v>
      </c>
      <c r="AK103" s="405"/>
      <c r="AL103" s="466"/>
      <c r="AM103" s="466"/>
      <c r="AN103" s="384">
        <v>-36019.46</v>
      </c>
      <c r="AO103" s="406"/>
      <c r="AP103" s="417"/>
      <c r="AQ103" s="384">
        <f t="shared" ref="AQ103:AQ113" si="31">+AF103+AH103</f>
        <v>11156230.66</v>
      </c>
      <c r="AR103" s="405"/>
      <c r="AS103" s="404">
        <v>583844.43999999994</v>
      </c>
      <c r="AT103" s="384">
        <f t="shared" ref="AT103:AT113" si="32">+AU103-AF103</f>
        <v>-5245593.1100000003</v>
      </c>
      <c r="AU103" s="544">
        <f t="shared" ref="AU103:AU113" si="33">+AV103+AW103</f>
        <v>0</v>
      </c>
      <c r="AV103" s="404">
        <v>0</v>
      </c>
      <c r="AW103" s="404">
        <v>0</v>
      </c>
    </row>
    <row r="104" spans="1:49" s="404" customFormat="1" ht="17.25" customHeight="1" x14ac:dyDescent="0.2">
      <c r="A104" s="418"/>
      <c r="C104" s="410"/>
      <c r="E104" s="420" t="s">
        <v>804</v>
      </c>
      <c r="G104" s="419" t="s">
        <v>805</v>
      </c>
      <c r="J104" s="250">
        <v>146300</v>
      </c>
      <c r="K104" s="405"/>
      <c r="L104" s="405">
        <v>0</v>
      </c>
      <c r="M104" s="405"/>
      <c r="N104" s="405">
        <v>0</v>
      </c>
      <c r="O104" s="405"/>
      <c r="P104" s="405">
        <v>0</v>
      </c>
      <c r="Q104" s="405"/>
      <c r="R104" s="405">
        <v>10379150</v>
      </c>
      <c r="S104" s="405">
        <v>0</v>
      </c>
      <c r="T104" s="405"/>
      <c r="U104" s="405">
        <v>32851667</v>
      </c>
      <c r="V104" s="405"/>
      <c r="X104" s="407"/>
      <c r="Y104" s="405">
        <f t="shared" si="24"/>
        <v>59922.209999999992</v>
      </c>
      <c r="Z104" s="405">
        <f t="shared" si="25"/>
        <v>0</v>
      </c>
      <c r="AA104" s="405"/>
      <c r="AB104" s="405">
        <v>206222.21</v>
      </c>
      <c r="AC104" s="405"/>
      <c r="AD104" s="405"/>
      <c r="AE104" s="405"/>
      <c r="AF104" s="451">
        <v>144355.54</v>
      </c>
      <c r="AG104" s="405"/>
      <c r="AH104" s="451">
        <v>206222.21</v>
      </c>
      <c r="AI104" s="405"/>
      <c r="AJ104" s="543">
        <f t="shared" si="26"/>
        <v>0</v>
      </c>
      <c r="AK104" s="405"/>
      <c r="AL104" s="466">
        <f t="shared" ref="AL104:AL113" si="34">+AH104/$AL$47</f>
        <v>2.0762443776711245E-3</v>
      </c>
      <c r="AM104" s="466">
        <v>5.0275222462791182E-3</v>
      </c>
      <c r="AN104" s="384">
        <v>-2277608.7999999998</v>
      </c>
      <c r="AO104" s="406"/>
      <c r="AP104" s="417"/>
      <c r="AQ104" s="384">
        <f t="shared" si="31"/>
        <v>350577.75</v>
      </c>
      <c r="AR104" s="405"/>
      <c r="AS104" s="404">
        <v>61866.67</v>
      </c>
      <c r="AT104" s="384">
        <f t="shared" si="32"/>
        <v>-123733.31000000001</v>
      </c>
      <c r="AU104" s="544">
        <f t="shared" si="33"/>
        <v>20622.23</v>
      </c>
      <c r="AV104" s="404">
        <v>0</v>
      </c>
      <c r="AW104" s="404">
        <v>20622.23</v>
      </c>
    </row>
    <row r="105" spans="1:49" s="404" customFormat="1" ht="17.25" customHeight="1" x14ac:dyDescent="0.2">
      <c r="A105" s="418"/>
      <c r="C105" s="410"/>
      <c r="E105" s="420" t="s">
        <v>806</v>
      </c>
      <c r="G105" s="419" t="s">
        <v>807</v>
      </c>
      <c r="J105" s="250">
        <v>410340</v>
      </c>
      <c r="K105" s="405"/>
      <c r="L105" s="405">
        <v>0</v>
      </c>
      <c r="M105" s="405"/>
      <c r="N105" s="405">
        <v>0</v>
      </c>
      <c r="O105" s="405"/>
      <c r="P105" s="405">
        <v>0</v>
      </c>
      <c r="Q105" s="405"/>
      <c r="R105" s="405">
        <v>10379150</v>
      </c>
      <c r="S105" s="405">
        <v>0</v>
      </c>
      <c r="T105" s="405"/>
      <c r="U105" s="405">
        <v>32851667</v>
      </c>
      <c r="V105" s="405"/>
      <c r="X105" s="407"/>
      <c r="Y105" s="405">
        <f t="shared" si="24"/>
        <v>0</v>
      </c>
      <c r="Z105" s="405">
        <f t="shared" si="25"/>
        <v>319942.48</v>
      </c>
      <c r="AA105" s="405"/>
      <c r="AB105" s="405">
        <v>90397.52</v>
      </c>
      <c r="AC105" s="405"/>
      <c r="AD105" s="405"/>
      <c r="AE105" s="405"/>
      <c r="AF105" s="451">
        <v>13423.4</v>
      </c>
      <c r="AG105" s="405"/>
      <c r="AH105" s="451">
        <v>90397.52</v>
      </c>
      <c r="AI105" s="405"/>
      <c r="AJ105" s="543">
        <f t="shared" si="26"/>
        <v>0</v>
      </c>
      <c r="AK105" s="405"/>
      <c r="AL105" s="466">
        <f t="shared" si="34"/>
        <v>9.1012186638584193E-4</v>
      </c>
      <c r="AM105" s="466">
        <v>5.0922977187030653E-4</v>
      </c>
      <c r="AN105" s="384">
        <v>-269717.33</v>
      </c>
      <c r="AO105" s="406"/>
      <c r="AP105" s="417"/>
      <c r="AQ105" s="384">
        <f t="shared" si="31"/>
        <v>103820.92</v>
      </c>
      <c r="AR105" s="405"/>
      <c r="AS105" s="404">
        <v>44077.36</v>
      </c>
      <c r="AT105" s="384">
        <f t="shared" si="32"/>
        <v>-13423.4</v>
      </c>
      <c r="AU105" s="544">
        <f t="shared" si="33"/>
        <v>0</v>
      </c>
      <c r="AV105" s="404">
        <v>0</v>
      </c>
      <c r="AW105" s="404">
        <v>0</v>
      </c>
    </row>
    <row r="106" spans="1:49" s="404" customFormat="1" ht="17.25" customHeight="1" x14ac:dyDescent="0.2">
      <c r="A106" s="418"/>
      <c r="C106" s="410"/>
      <c r="E106" s="420" t="s">
        <v>808</v>
      </c>
      <c r="G106" s="419" t="s">
        <v>809</v>
      </c>
      <c r="J106" s="250">
        <v>160000</v>
      </c>
      <c r="K106" s="405"/>
      <c r="L106" s="405">
        <v>0</v>
      </c>
      <c r="M106" s="405"/>
      <c r="N106" s="405">
        <v>0</v>
      </c>
      <c r="O106" s="405"/>
      <c r="P106" s="405">
        <v>0</v>
      </c>
      <c r="Q106" s="405"/>
      <c r="R106" s="405">
        <v>10379150</v>
      </c>
      <c r="S106" s="405">
        <v>0</v>
      </c>
      <c r="T106" s="405"/>
      <c r="U106" s="405">
        <v>32851667</v>
      </c>
      <c r="V106" s="405"/>
      <c r="X106" s="407"/>
      <c r="Y106" s="405">
        <f t="shared" si="24"/>
        <v>0</v>
      </c>
      <c r="Z106" s="405">
        <f t="shared" si="25"/>
        <v>133679.6</v>
      </c>
      <c r="AA106" s="405"/>
      <c r="AB106" s="405">
        <v>26320.400000000001</v>
      </c>
      <c r="AC106" s="405"/>
      <c r="AD106" s="405"/>
      <c r="AE106" s="405"/>
      <c r="AF106" s="451">
        <v>0</v>
      </c>
      <c r="AG106" s="405"/>
      <c r="AH106" s="451">
        <v>26320.400000000001</v>
      </c>
      <c r="AI106" s="405"/>
      <c r="AJ106" s="543">
        <f t="shared" si="26"/>
        <v>0</v>
      </c>
      <c r="AK106" s="405"/>
      <c r="AL106" s="466">
        <f t="shared" si="34"/>
        <v>2.6499368093308215E-4</v>
      </c>
      <c r="AM106" s="466">
        <v>1.4598594145718497E-3</v>
      </c>
      <c r="AN106" s="384">
        <v>32055</v>
      </c>
      <c r="AO106" s="406"/>
      <c r="AP106" s="417"/>
      <c r="AQ106" s="384">
        <f t="shared" si="31"/>
        <v>26320.400000000001</v>
      </c>
      <c r="AR106" s="405"/>
      <c r="AS106" s="404">
        <v>26320.400000000001</v>
      </c>
      <c r="AT106" s="384">
        <f t="shared" si="32"/>
        <v>1160</v>
      </c>
      <c r="AU106" s="544">
        <f t="shared" si="33"/>
        <v>1160</v>
      </c>
      <c r="AV106" s="404">
        <v>0</v>
      </c>
      <c r="AW106" s="404">
        <v>1160</v>
      </c>
    </row>
    <row r="107" spans="1:49" s="404" customFormat="1" ht="17.25" customHeight="1" x14ac:dyDescent="0.2">
      <c r="A107" s="418"/>
      <c r="C107" s="410"/>
      <c r="E107" s="420" t="s">
        <v>810</v>
      </c>
      <c r="G107" s="419" t="s">
        <v>857</v>
      </c>
      <c r="J107" s="250">
        <v>757681</v>
      </c>
      <c r="K107" s="405"/>
      <c r="L107" s="405">
        <v>0</v>
      </c>
      <c r="M107" s="405"/>
      <c r="N107" s="405">
        <v>0</v>
      </c>
      <c r="O107" s="405"/>
      <c r="P107" s="405">
        <v>0</v>
      </c>
      <c r="Q107" s="405"/>
      <c r="R107" s="405">
        <v>10379150</v>
      </c>
      <c r="S107" s="405">
        <v>0</v>
      </c>
      <c r="T107" s="405"/>
      <c r="U107" s="405">
        <v>32851667</v>
      </c>
      <c r="V107" s="405"/>
      <c r="X107" s="407"/>
      <c r="Y107" s="405">
        <f t="shared" si="24"/>
        <v>0</v>
      </c>
      <c r="Z107" s="405">
        <f t="shared" si="25"/>
        <v>4964.5200000000186</v>
      </c>
      <c r="AA107" s="405"/>
      <c r="AB107" s="405">
        <v>752716.48</v>
      </c>
      <c r="AC107" s="405"/>
      <c r="AD107" s="405"/>
      <c r="AE107" s="405"/>
      <c r="AF107" s="451">
        <v>705219.13</v>
      </c>
      <c r="AG107" s="405"/>
      <c r="AH107" s="451">
        <v>752716.48</v>
      </c>
      <c r="AI107" s="405"/>
      <c r="AJ107" s="543">
        <f t="shared" si="26"/>
        <v>0</v>
      </c>
      <c r="AK107" s="405"/>
      <c r="AL107" s="466">
        <f t="shared" si="34"/>
        <v>7.5783464815957473E-3</v>
      </c>
      <c r="AM107" s="466">
        <v>1.1174337633542884E-2</v>
      </c>
      <c r="AN107" s="384">
        <v>-748224.73</v>
      </c>
      <c r="AO107" s="406"/>
      <c r="AP107" s="417"/>
      <c r="AQ107" s="384">
        <f t="shared" si="31"/>
        <v>1457935.6099999999</v>
      </c>
      <c r="AR107" s="405"/>
      <c r="AS107" s="404">
        <v>0</v>
      </c>
      <c r="AT107" s="384">
        <f t="shared" si="32"/>
        <v>-705219.13</v>
      </c>
      <c r="AU107" s="544">
        <f t="shared" si="33"/>
        <v>0</v>
      </c>
      <c r="AV107" s="404">
        <v>0</v>
      </c>
      <c r="AW107" s="404">
        <v>0</v>
      </c>
    </row>
    <row r="108" spans="1:49" s="404" customFormat="1" ht="17.25" customHeight="1" x14ac:dyDescent="0.2">
      <c r="A108" s="418"/>
      <c r="C108" s="410"/>
      <c r="E108" s="420" t="s">
        <v>811</v>
      </c>
      <c r="G108" s="419" t="s">
        <v>858</v>
      </c>
      <c r="J108" s="250">
        <v>635608.55000000005</v>
      </c>
      <c r="K108" s="405"/>
      <c r="L108" s="405">
        <v>0</v>
      </c>
      <c r="M108" s="405"/>
      <c r="N108" s="405">
        <v>0</v>
      </c>
      <c r="O108" s="405"/>
      <c r="P108" s="405">
        <v>0</v>
      </c>
      <c r="Q108" s="405"/>
      <c r="R108" s="405">
        <v>10379150</v>
      </c>
      <c r="S108" s="405">
        <v>0</v>
      </c>
      <c r="T108" s="405"/>
      <c r="U108" s="405">
        <v>32851667</v>
      </c>
      <c r="V108" s="405"/>
      <c r="X108" s="407"/>
      <c r="Y108" s="405">
        <f t="shared" si="24"/>
        <v>833351.45</v>
      </c>
      <c r="Z108" s="405">
        <f t="shared" si="25"/>
        <v>0</v>
      </c>
      <c r="AA108" s="405"/>
      <c r="AB108" s="405">
        <v>1468960</v>
      </c>
      <c r="AC108" s="405"/>
      <c r="AD108" s="405"/>
      <c r="AE108" s="405"/>
      <c r="AF108" s="451">
        <v>0</v>
      </c>
      <c r="AG108" s="405"/>
      <c r="AH108" s="451">
        <v>1468960</v>
      </c>
      <c r="AI108" s="405"/>
      <c r="AJ108" s="543">
        <f t="shared" si="26"/>
        <v>0</v>
      </c>
      <c r="AK108" s="405"/>
      <c r="AL108" s="466">
        <f t="shared" si="34"/>
        <v>1.4789483349168719E-2</v>
      </c>
      <c r="AM108" s="466">
        <v>4.6715501266299189E-5</v>
      </c>
      <c r="AN108" s="384">
        <v>1026</v>
      </c>
      <c r="AO108" s="406"/>
      <c r="AP108" s="417"/>
      <c r="AQ108" s="384">
        <f t="shared" si="31"/>
        <v>1468960</v>
      </c>
      <c r="AR108" s="405"/>
      <c r="AS108" s="404">
        <v>305548</v>
      </c>
      <c r="AT108" s="384">
        <f t="shared" si="32"/>
        <v>240556</v>
      </c>
      <c r="AU108" s="544">
        <f t="shared" si="33"/>
        <v>240556</v>
      </c>
      <c r="AV108" s="404">
        <v>3996</v>
      </c>
      <c r="AW108" s="404">
        <v>236560</v>
      </c>
    </row>
    <row r="109" spans="1:49" s="404" customFormat="1" ht="17.25" customHeight="1" x14ac:dyDescent="0.2">
      <c r="A109" s="418"/>
      <c r="C109" s="410"/>
      <c r="E109" s="420" t="s">
        <v>812</v>
      </c>
      <c r="G109" s="419" t="s">
        <v>813</v>
      </c>
      <c r="J109" s="250">
        <v>2410000</v>
      </c>
      <c r="K109" s="405"/>
      <c r="L109" s="405">
        <v>0</v>
      </c>
      <c r="M109" s="405"/>
      <c r="N109" s="405">
        <v>0</v>
      </c>
      <c r="O109" s="405"/>
      <c r="P109" s="405">
        <v>0</v>
      </c>
      <c r="Q109" s="405"/>
      <c r="R109" s="405">
        <v>10379150</v>
      </c>
      <c r="S109" s="405">
        <v>0</v>
      </c>
      <c r="T109" s="405"/>
      <c r="U109" s="405">
        <v>32851667</v>
      </c>
      <c r="V109" s="405"/>
      <c r="X109" s="407"/>
      <c r="Y109" s="405">
        <f t="shared" si="24"/>
        <v>7477442.3900000006</v>
      </c>
      <c r="Z109" s="405">
        <f t="shared" si="25"/>
        <v>0</v>
      </c>
      <c r="AA109" s="405"/>
      <c r="AB109" s="405">
        <v>9887442.3900000006</v>
      </c>
      <c r="AC109" s="405"/>
      <c r="AD109" s="405"/>
      <c r="AE109" s="405"/>
      <c r="AF109" s="451">
        <v>6377350.8400000008</v>
      </c>
      <c r="AG109" s="405"/>
      <c r="AH109" s="451">
        <v>9887442.3800000008</v>
      </c>
      <c r="AI109" s="405"/>
      <c r="AJ109" s="543">
        <f t="shared" si="26"/>
        <v>9.9999997764825821E-3</v>
      </c>
      <c r="AK109" s="405"/>
      <c r="AL109" s="466">
        <f t="shared" si="34"/>
        <v>9.954672996192894E-2</v>
      </c>
      <c r="AM109" s="466">
        <v>1.3028259819608944E-2</v>
      </c>
      <c r="AN109" s="384">
        <v>50539.159999999916</v>
      </c>
      <c r="AO109" s="406"/>
      <c r="AP109" s="417"/>
      <c r="AQ109" s="384">
        <f t="shared" si="31"/>
        <v>16264793.220000003</v>
      </c>
      <c r="AR109" s="405"/>
      <c r="AS109" s="404">
        <v>1728929.7</v>
      </c>
      <c r="AT109" s="384">
        <f t="shared" si="32"/>
        <v>-6159362.4300000006</v>
      </c>
      <c r="AU109" s="544">
        <f t="shared" si="33"/>
        <v>217988.40999999997</v>
      </c>
      <c r="AV109" s="404">
        <v>157320.46</v>
      </c>
      <c r="AW109" s="404">
        <v>60667.95</v>
      </c>
    </row>
    <row r="110" spans="1:49" s="404" customFormat="1" ht="17.25" customHeight="1" x14ac:dyDescent="0.2">
      <c r="A110" s="418"/>
      <c r="C110" s="410"/>
      <c r="E110" s="420" t="s">
        <v>814</v>
      </c>
      <c r="G110" s="419" t="s">
        <v>815</v>
      </c>
      <c r="J110" s="250">
        <v>94596</v>
      </c>
      <c r="K110" s="405"/>
      <c r="L110" s="405">
        <v>0</v>
      </c>
      <c r="M110" s="405"/>
      <c r="N110" s="405">
        <v>0</v>
      </c>
      <c r="O110" s="405"/>
      <c r="P110" s="405">
        <v>0</v>
      </c>
      <c r="Q110" s="405"/>
      <c r="R110" s="405">
        <v>10379150</v>
      </c>
      <c r="S110" s="405">
        <v>0</v>
      </c>
      <c r="T110" s="405"/>
      <c r="U110" s="405">
        <v>32851667</v>
      </c>
      <c r="V110" s="405"/>
      <c r="X110" s="407"/>
      <c r="Y110" s="405">
        <f t="shared" si="24"/>
        <v>97025.76999999999</v>
      </c>
      <c r="Z110" s="405">
        <f t="shared" si="25"/>
        <v>0</v>
      </c>
      <c r="AA110" s="405"/>
      <c r="AB110" s="405">
        <v>191621.77</v>
      </c>
      <c r="AC110" s="405"/>
      <c r="AD110" s="405"/>
      <c r="AE110" s="405"/>
      <c r="AF110" s="451">
        <v>100237.85</v>
      </c>
      <c r="AG110" s="405"/>
      <c r="AH110" s="451">
        <v>191621.77</v>
      </c>
      <c r="AI110" s="405"/>
      <c r="AJ110" s="543">
        <f t="shared" si="26"/>
        <v>0</v>
      </c>
      <c r="AK110" s="405"/>
      <c r="AL110" s="466">
        <f t="shared" si="34"/>
        <v>1.9292472066994595E-3</v>
      </c>
      <c r="AM110" s="466">
        <v>1.9466299037687062E-4</v>
      </c>
      <c r="AN110" s="384">
        <v>-734072.04999999993</v>
      </c>
      <c r="AO110" s="406"/>
      <c r="AP110" s="417"/>
      <c r="AQ110" s="384">
        <f t="shared" si="31"/>
        <v>291859.62</v>
      </c>
      <c r="AR110" s="405"/>
      <c r="AS110" s="404">
        <v>25768.52</v>
      </c>
      <c r="AT110" s="384">
        <f t="shared" si="32"/>
        <v>-83572.13</v>
      </c>
      <c r="AU110" s="544">
        <f t="shared" si="33"/>
        <v>16665.72</v>
      </c>
      <c r="AV110" s="404">
        <v>1682</v>
      </c>
      <c r="AW110" s="404">
        <v>14983.72</v>
      </c>
    </row>
    <row r="111" spans="1:49" s="404" customFormat="1" ht="17.25" customHeight="1" x14ac:dyDescent="0.2">
      <c r="A111" s="418"/>
      <c r="C111" s="410"/>
      <c r="E111" s="420" t="s">
        <v>816</v>
      </c>
      <c r="G111" s="419" t="s">
        <v>817</v>
      </c>
      <c r="J111" s="250">
        <v>1346326</v>
      </c>
      <c r="K111" s="405"/>
      <c r="L111" s="405">
        <v>0</v>
      </c>
      <c r="M111" s="405"/>
      <c r="N111" s="405">
        <v>0</v>
      </c>
      <c r="O111" s="405"/>
      <c r="P111" s="405">
        <v>0</v>
      </c>
      <c r="Q111" s="405"/>
      <c r="R111" s="405">
        <v>10379150</v>
      </c>
      <c r="S111" s="405">
        <v>0</v>
      </c>
      <c r="T111" s="405"/>
      <c r="U111" s="405">
        <v>32851667</v>
      </c>
      <c r="V111" s="405"/>
      <c r="X111" s="407"/>
      <c r="Y111" s="405">
        <f t="shared" si="24"/>
        <v>0</v>
      </c>
      <c r="Z111" s="405">
        <f t="shared" si="25"/>
        <v>516088.49</v>
      </c>
      <c r="AA111" s="405"/>
      <c r="AB111" s="405">
        <v>830237.51</v>
      </c>
      <c r="AC111" s="405"/>
      <c r="AD111" s="405"/>
      <c r="AE111" s="405"/>
      <c r="AF111" s="451">
        <v>658931.85</v>
      </c>
      <c r="AG111" s="405"/>
      <c r="AH111" s="451">
        <v>830237.51</v>
      </c>
      <c r="AI111" s="405"/>
      <c r="AJ111" s="543">
        <f t="shared" si="26"/>
        <v>0</v>
      </c>
      <c r="AK111" s="405"/>
      <c r="AL111" s="466">
        <f t="shared" si="34"/>
        <v>8.358827898649588E-3</v>
      </c>
      <c r="AM111" s="466">
        <v>7.4672312455148241E-3</v>
      </c>
      <c r="AN111" s="384">
        <v>145360</v>
      </c>
      <c r="AO111" s="406"/>
      <c r="AP111" s="417"/>
      <c r="AQ111" s="384">
        <f t="shared" si="31"/>
        <v>1489169.3599999999</v>
      </c>
      <c r="AR111" s="405"/>
      <c r="AS111" s="404">
        <v>20888</v>
      </c>
      <c r="AT111" s="384">
        <f t="shared" si="32"/>
        <v>-651043.85</v>
      </c>
      <c r="AU111" s="544">
        <f t="shared" si="33"/>
        <v>7888</v>
      </c>
      <c r="AV111" s="404">
        <v>0</v>
      </c>
      <c r="AW111" s="404">
        <v>7888</v>
      </c>
    </row>
    <row r="112" spans="1:49" s="404" customFormat="1" ht="17.25" customHeight="1" x14ac:dyDescent="0.2">
      <c r="A112" s="418"/>
      <c r="C112" s="410"/>
      <c r="E112" s="420" t="s">
        <v>818</v>
      </c>
      <c r="G112" s="419" t="s">
        <v>819</v>
      </c>
      <c r="J112" s="250">
        <v>1233439</v>
      </c>
      <c r="K112" s="405"/>
      <c r="L112" s="405">
        <v>0</v>
      </c>
      <c r="M112" s="405"/>
      <c r="N112" s="405">
        <v>0</v>
      </c>
      <c r="O112" s="405"/>
      <c r="P112" s="405">
        <v>0</v>
      </c>
      <c r="Q112" s="405"/>
      <c r="R112" s="405">
        <v>10379150</v>
      </c>
      <c r="S112" s="405">
        <v>0</v>
      </c>
      <c r="T112" s="405"/>
      <c r="U112" s="405">
        <v>32851667</v>
      </c>
      <c r="V112" s="405"/>
      <c r="X112" s="407"/>
      <c r="Y112" s="405">
        <f t="shared" si="24"/>
        <v>0</v>
      </c>
      <c r="Z112" s="405">
        <f t="shared" si="25"/>
        <v>183982.45999999996</v>
      </c>
      <c r="AA112" s="405"/>
      <c r="AB112" s="405">
        <v>1049456.54</v>
      </c>
      <c r="AC112" s="405"/>
      <c r="AD112" s="405"/>
      <c r="AE112" s="405"/>
      <c r="AF112" s="451">
        <v>220730.57</v>
      </c>
      <c r="AG112" s="405"/>
      <c r="AH112" s="451">
        <v>1049456.54</v>
      </c>
      <c r="AI112" s="405"/>
      <c r="AJ112" s="543">
        <f t="shared" si="26"/>
        <v>0</v>
      </c>
      <c r="AK112" s="405"/>
      <c r="AL112" s="466">
        <f t="shared" si="34"/>
        <v>1.0565924207606889E-2</v>
      </c>
      <c r="AM112" s="466">
        <v>2.0388497263870077E-5</v>
      </c>
      <c r="AN112" s="384">
        <v>447.92000000000007</v>
      </c>
      <c r="AO112" s="406"/>
      <c r="AP112" s="417"/>
      <c r="AQ112" s="384">
        <f t="shared" si="31"/>
        <v>1270187.1100000001</v>
      </c>
      <c r="AR112" s="405"/>
      <c r="AS112" s="404">
        <v>514340.85</v>
      </c>
      <c r="AT112" s="384">
        <f t="shared" si="32"/>
        <v>-82747.340000000026</v>
      </c>
      <c r="AU112" s="544">
        <f t="shared" si="33"/>
        <v>137983.22999999998</v>
      </c>
      <c r="AV112" s="404">
        <v>121405.73</v>
      </c>
      <c r="AW112" s="404">
        <v>16577.5</v>
      </c>
    </row>
    <row r="113" spans="1:49" s="404" customFormat="1" ht="17.25" customHeight="1" x14ac:dyDescent="0.2">
      <c r="A113" s="418"/>
      <c r="C113" s="410"/>
      <c r="E113" s="420" t="s">
        <v>820</v>
      </c>
      <c r="G113" s="419" t="s">
        <v>821</v>
      </c>
      <c r="J113" s="250">
        <v>158806</v>
      </c>
      <c r="K113" s="405"/>
      <c r="L113" s="405">
        <v>0</v>
      </c>
      <c r="M113" s="405"/>
      <c r="N113" s="405">
        <v>0</v>
      </c>
      <c r="O113" s="405"/>
      <c r="P113" s="405">
        <v>0</v>
      </c>
      <c r="Q113" s="405"/>
      <c r="R113" s="405">
        <v>10379150</v>
      </c>
      <c r="S113" s="405">
        <v>0</v>
      </c>
      <c r="T113" s="405"/>
      <c r="U113" s="405">
        <v>32851667</v>
      </c>
      <c r="V113" s="405"/>
      <c r="X113" s="407"/>
      <c r="Y113" s="405">
        <f t="shared" si="24"/>
        <v>0</v>
      </c>
      <c r="Z113" s="405">
        <f t="shared" si="25"/>
        <v>156805.99</v>
      </c>
      <c r="AA113" s="405"/>
      <c r="AB113" s="405">
        <v>2000.01</v>
      </c>
      <c r="AC113" s="405"/>
      <c r="AD113" s="405"/>
      <c r="AE113" s="405"/>
      <c r="AF113" s="451">
        <v>2000.01</v>
      </c>
      <c r="AG113" s="405"/>
      <c r="AH113" s="451">
        <v>2000.01</v>
      </c>
      <c r="AI113" s="405"/>
      <c r="AJ113" s="543">
        <f t="shared" si="26"/>
        <v>0</v>
      </c>
      <c r="AK113" s="405"/>
      <c r="AL113" s="466">
        <f t="shared" si="34"/>
        <v>2.0136092605088587E-5</v>
      </c>
      <c r="AM113" s="466">
        <v>2.4407632694329252E-2</v>
      </c>
      <c r="AN113" s="384">
        <v>-499748.6400000006</v>
      </c>
      <c r="AO113" s="406"/>
      <c r="AP113" s="417"/>
      <c r="AQ113" s="384">
        <f t="shared" si="31"/>
        <v>4000.02</v>
      </c>
      <c r="AR113" s="405"/>
      <c r="AS113" s="404">
        <v>0</v>
      </c>
      <c r="AT113" s="384">
        <f t="shared" si="32"/>
        <v>-2000.01</v>
      </c>
      <c r="AU113" s="544">
        <f t="shared" si="33"/>
        <v>0</v>
      </c>
      <c r="AV113" s="404">
        <v>0</v>
      </c>
      <c r="AW113" s="404">
        <v>0</v>
      </c>
    </row>
    <row r="114" spans="1:49" s="404" customFormat="1" ht="17.25" customHeight="1" x14ac:dyDescent="0.2">
      <c r="A114" s="418"/>
      <c r="C114" s="410"/>
      <c r="E114" s="420">
        <v>35801</v>
      </c>
      <c r="G114" s="419" t="s">
        <v>996</v>
      </c>
      <c r="J114" s="250">
        <v>0</v>
      </c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X114" s="407"/>
      <c r="Y114" s="405">
        <f t="shared" si="24"/>
        <v>677071.12</v>
      </c>
      <c r="Z114" s="405">
        <f t="shared" si="25"/>
        <v>0</v>
      </c>
      <c r="AA114" s="405"/>
      <c r="AB114" s="405">
        <v>677071.12</v>
      </c>
      <c r="AC114" s="405"/>
      <c r="AD114" s="405"/>
      <c r="AE114" s="405"/>
      <c r="AF114" s="451">
        <v>677071.12</v>
      </c>
      <c r="AG114" s="405"/>
      <c r="AH114" s="451">
        <v>677071.12</v>
      </c>
      <c r="AI114" s="405"/>
      <c r="AJ114" s="543">
        <f t="shared" si="26"/>
        <v>0</v>
      </c>
      <c r="AK114" s="405"/>
      <c r="AL114" s="466"/>
      <c r="AM114" s="466"/>
      <c r="AN114" s="384"/>
      <c r="AO114" s="406"/>
      <c r="AP114" s="417"/>
      <c r="AQ114" s="384"/>
      <c r="AR114" s="405"/>
      <c r="AT114" s="384"/>
      <c r="AU114" s="544"/>
    </row>
    <row r="115" spans="1:49" s="404" customFormat="1" ht="17.25" customHeight="1" x14ac:dyDescent="0.2">
      <c r="A115" s="418"/>
      <c r="C115" s="410"/>
      <c r="E115" s="420" t="s">
        <v>822</v>
      </c>
      <c r="G115" s="419" t="s">
        <v>859</v>
      </c>
      <c r="J115" s="250">
        <v>526480</v>
      </c>
      <c r="K115" s="405"/>
      <c r="L115" s="405">
        <v>0</v>
      </c>
      <c r="M115" s="405"/>
      <c r="N115" s="405">
        <v>0</v>
      </c>
      <c r="O115" s="405"/>
      <c r="P115" s="405">
        <v>0</v>
      </c>
      <c r="Q115" s="405"/>
      <c r="R115" s="405">
        <v>10379150</v>
      </c>
      <c r="S115" s="405">
        <v>0</v>
      </c>
      <c r="T115" s="405"/>
      <c r="U115" s="405">
        <v>32851667</v>
      </c>
      <c r="V115" s="405"/>
      <c r="X115" s="407"/>
      <c r="Y115" s="405">
        <f t="shared" si="24"/>
        <v>34746.339999999967</v>
      </c>
      <c r="Z115" s="405">
        <f t="shared" si="25"/>
        <v>0</v>
      </c>
      <c r="AA115" s="405"/>
      <c r="AB115" s="405">
        <v>561226.34</v>
      </c>
      <c r="AC115" s="405"/>
      <c r="AD115" s="405"/>
      <c r="AE115" s="405"/>
      <c r="AF115" s="451">
        <v>509983.33999999997</v>
      </c>
      <c r="AG115" s="405"/>
      <c r="AH115" s="451">
        <v>561226.34</v>
      </c>
      <c r="AI115" s="405"/>
      <c r="AJ115" s="543">
        <f t="shared" si="26"/>
        <v>0</v>
      </c>
      <c r="AK115" s="405"/>
      <c r="AL115" s="466">
        <f t="shared" ref="AL115:AL120" si="35">+AH115/$AL$47</f>
        <v>5.6504245252048399E-3</v>
      </c>
      <c r="AM115" s="466">
        <v>6.9962946935682932E-3</v>
      </c>
      <c r="AN115" s="384">
        <v>58159.520000000019</v>
      </c>
      <c r="AO115" s="406"/>
      <c r="AP115" s="417"/>
      <c r="AQ115" s="384">
        <f t="shared" ref="AQ115:AQ120" si="36">+AF115+AH115</f>
        <v>1071209.68</v>
      </c>
      <c r="AR115" s="405"/>
      <c r="AS115" s="404">
        <v>43586.999999999993</v>
      </c>
      <c r="AT115" s="384">
        <f t="shared" ref="AT115:AT120" si="37">+AU115-AF115</f>
        <v>-469452.93999999994</v>
      </c>
      <c r="AU115" s="544">
        <f t="shared" ref="AU115:AU120" si="38">+AV115+AW115</f>
        <v>40530.399999999994</v>
      </c>
      <c r="AV115" s="404">
        <v>12939.8</v>
      </c>
      <c r="AW115" s="404">
        <v>27590.6</v>
      </c>
    </row>
    <row r="116" spans="1:49" s="404" customFormat="1" ht="17.25" customHeight="1" x14ac:dyDescent="0.2">
      <c r="A116" s="418"/>
      <c r="C116" s="410"/>
      <c r="E116" s="420" t="s">
        <v>823</v>
      </c>
      <c r="G116" s="419" t="s">
        <v>824</v>
      </c>
      <c r="J116" s="250">
        <v>945000</v>
      </c>
      <c r="K116" s="405"/>
      <c r="L116" s="405">
        <v>0</v>
      </c>
      <c r="M116" s="405"/>
      <c r="N116" s="405">
        <v>0</v>
      </c>
      <c r="O116" s="405"/>
      <c r="P116" s="405">
        <v>0</v>
      </c>
      <c r="Q116" s="405"/>
      <c r="R116" s="405">
        <v>10379150</v>
      </c>
      <c r="S116" s="405">
        <v>0</v>
      </c>
      <c r="T116" s="405"/>
      <c r="U116" s="405">
        <v>32851667</v>
      </c>
      <c r="V116" s="405"/>
      <c r="X116" s="407"/>
      <c r="Y116" s="405">
        <f t="shared" si="24"/>
        <v>0</v>
      </c>
      <c r="Z116" s="405">
        <f t="shared" si="25"/>
        <v>597712.88</v>
      </c>
      <c r="AA116" s="405"/>
      <c r="AB116" s="405">
        <v>347287.12</v>
      </c>
      <c r="AC116" s="405"/>
      <c r="AD116" s="405"/>
      <c r="AE116" s="405"/>
      <c r="AF116" s="451">
        <v>70825.36</v>
      </c>
      <c r="AG116" s="405"/>
      <c r="AH116" s="451">
        <v>347287.12</v>
      </c>
      <c r="AI116" s="405"/>
      <c r="AJ116" s="543">
        <f t="shared" si="26"/>
        <v>0</v>
      </c>
      <c r="AK116" s="405"/>
      <c r="AL116" s="466">
        <f t="shared" si="35"/>
        <v>3.4964853220106461E-3</v>
      </c>
      <c r="AM116" s="466">
        <v>1.3134503756523339E-2</v>
      </c>
      <c r="AN116" s="384">
        <v>246652.15999999992</v>
      </c>
      <c r="AO116" s="406"/>
      <c r="AP116" s="417"/>
      <c r="AQ116" s="384">
        <f t="shared" si="36"/>
        <v>418112.48</v>
      </c>
      <c r="AR116" s="405"/>
      <c r="AS116" s="404">
        <v>197724.43</v>
      </c>
      <c r="AT116" s="384">
        <f t="shared" si="37"/>
        <v>-31611.68</v>
      </c>
      <c r="AU116" s="544">
        <f t="shared" si="38"/>
        <v>39213.68</v>
      </c>
      <c r="AV116" s="404">
        <v>1802.64</v>
      </c>
      <c r="AW116" s="404">
        <v>37411.040000000001</v>
      </c>
    </row>
    <row r="117" spans="1:49" s="404" customFormat="1" ht="17.25" customHeight="1" x14ac:dyDescent="0.2">
      <c r="A117" s="418"/>
      <c r="C117" s="410"/>
      <c r="E117" s="420" t="s">
        <v>825</v>
      </c>
      <c r="G117" s="419" t="s">
        <v>826</v>
      </c>
      <c r="J117" s="250">
        <v>444042.8</v>
      </c>
      <c r="K117" s="405"/>
      <c r="L117" s="405">
        <v>0</v>
      </c>
      <c r="M117" s="405"/>
      <c r="N117" s="405">
        <v>0</v>
      </c>
      <c r="O117" s="405"/>
      <c r="P117" s="405">
        <v>0</v>
      </c>
      <c r="Q117" s="405"/>
      <c r="R117" s="405">
        <v>10379150</v>
      </c>
      <c r="S117" s="405">
        <v>0</v>
      </c>
      <c r="T117" s="405"/>
      <c r="U117" s="405">
        <v>32851667</v>
      </c>
      <c r="V117" s="405"/>
      <c r="X117" s="407"/>
      <c r="Y117" s="405">
        <f t="shared" si="24"/>
        <v>0</v>
      </c>
      <c r="Z117" s="405">
        <f t="shared" si="25"/>
        <v>361843.8</v>
      </c>
      <c r="AA117" s="405"/>
      <c r="AB117" s="405">
        <v>82199</v>
      </c>
      <c r="AC117" s="405"/>
      <c r="AD117" s="405"/>
      <c r="AE117" s="405"/>
      <c r="AF117" s="451">
        <v>-25458</v>
      </c>
      <c r="AG117" s="405"/>
      <c r="AH117" s="451">
        <v>82199</v>
      </c>
      <c r="AI117" s="405"/>
      <c r="AJ117" s="543">
        <f t="shared" si="26"/>
        <v>0</v>
      </c>
      <c r="AK117" s="405"/>
      <c r="AL117" s="466">
        <f t="shared" si="35"/>
        <v>8.2757920012683768E-4</v>
      </c>
      <c r="AM117" s="466">
        <v>9.0428186491978077E-3</v>
      </c>
      <c r="AN117" s="384">
        <v>-136708.78000000026</v>
      </c>
      <c r="AO117" s="406"/>
      <c r="AP117" s="417"/>
      <c r="AQ117" s="384">
        <f t="shared" si="36"/>
        <v>56741</v>
      </c>
      <c r="AR117" s="405"/>
      <c r="AS117" s="404">
        <v>107657</v>
      </c>
      <c r="AT117" s="384">
        <f t="shared" si="37"/>
        <v>125919</v>
      </c>
      <c r="AU117" s="544">
        <f t="shared" si="38"/>
        <v>100461</v>
      </c>
      <c r="AV117" s="404">
        <v>100461</v>
      </c>
      <c r="AW117" s="404">
        <v>0</v>
      </c>
    </row>
    <row r="118" spans="1:49" s="404" customFormat="1" ht="17.25" customHeight="1" x14ac:dyDescent="0.2">
      <c r="A118" s="418"/>
      <c r="C118" s="410"/>
      <c r="E118" s="420" t="s">
        <v>827</v>
      </c>
      <c r="G118" s="419" t="s">
        <v>860</v>
      </c>
      <c r="J118" s="250">
        <v>1284776.1399999999</v>
      </c>
      <c r="K118" s="405"/>
      <c r="L118" s="405">
        <v>0</v>
      </c>
      <c r="M118" s="405"/>
      <c r="N118" s="405">
        <v>0</v>
      </c>
      <c r="O118" s="405"/>
      <c r="P118" s="405">
        <v>0</v>
      </c>
      <c r="Q118" s="405"/>
      <c r="R118" s="405">
        <v>10379150</v>
      </c>
      <c r="S118" s="405">
        <v>0</v>
      </c>
      <c r="T118" s="405"/>
      <c r="U118" s="405">
        <v>32851667</v>
      </c>
      <c r="V118" s="405"/>
      <c r="X118" s="407"/>
      <c r="Y118" s="405">
        <f t="shared" si="24"/>
        <v>0</v>
      </c>
      <c r="Z118" s="405">
        <f t="shared" si="25"/>
        <v>1103404.95</v>
      </c>
      <c r="AA118" s="405"/>
      <c r="AB118" s="405">
        <v>181371.19</v>
      </c>
      <c r="AC118" s="405"/>
      <c r="AD118" s="405"/>
      <c r="AE118" s="405"/>
      <c r="AF118" s="451">
        <v>138873.69</v>
      </c>
      <c r="AG118" s="405"/>
      <c r="AH118" s="451">
        <v>181371.19</v>
      </c>
      <c r="AI118" s="405"/>
      <c r="AJ118" s="543">
        <f t="shared" si="26"/>
        <v>0</v>
      </c>
      <c r="AK118" s="405"/>
      <c r="AL118" s="466">
        <f t="shared" si="35"/>
        <v>1.8260444086455152E-3</v>
      </c>
      <c r="AM118" s="466">
        <v>7.2228004395356827E-4</v>
      </c>
      <c r="AN118" s="384">
        <v>-71206</v>
      </c>
      <c r="AO118" s="406"/>
      <c r="AP118" s="417"/>
      <c r="AQ118" s="384">
        <f t="shared" si="36"/>
        <v>320244.88</v>
      </c>
      <c r="AR118" s="405"/>
      <c r="AS118" s="404">
        <v>14570</v>
      </c>
      <c r="AT118" s="384">
        <f t="shared" si="37"/>
        <v>-128580.19</v>
      </c>
      <c r="AU118" s="544">
        <f t="shared" si="38"/>
        <v>10293.5</v>
      </c>
      <c r="AV118" s="404">
        <v>9000</v>
      </c>
      <c r="AW118" s="404">
        <v>1293.5</v>
      </c>
    </row>
    <row r="119" spans="1:49" s="404" customFormat="1" ht="17.25" customHeight="1" x14ac:dyDescent="0.2">
      <c r="A119" s="418"/>
      <c r="C119" s="410"/>
      <c r="E119" s="420" t="s">
        <v>828</v>
      </c>
      <c r="G119" s="419" t="s">
        <v>829</v>
      </c>
      <c r="J119" s="250">
        <v>1121470</v>
      </c>
      <c r="K119" s="405"/>
      <c r="L119" s="405">
        <v>0</v>
      </c>
      <c r="M119" s="405"/>
      <c r="N119" s="405">
        <v>0</v>
      </c>
      <c r="O119" s="405"/>
      <c r="P119" s="405">
        <v>0</v>
      </c>
      <c r="Q119" s="405"/>
      <c r="R119" s="405">
        <v>10379150</v>
      </c>
      <c r="S119" s="405">
        <v>0</v>
      </c>
      <c r="T119" s="405"/>
      <c r="U119" s="405">
        <v>32851667</v>
      </c>
      <c r="V119" s="405"/>
      <c r="X119" s="407"/>
      <c r="Y119" s="405">
        <f t="shared" si="24"/>
        <v>0</v>
      </c>
      <c r="Z119" s="405">
        <f t="shared" si="25"/>
        <v>622587.84000000008</v>
      </c>
      <c r="AA119" s="405"/>
      <c r="AB119" s="405">
        <v>498882.16</v>
      </c>
      <c r="AC119" s="405"/>
      <c r="AD119" s="405"/>
      <c r="AE119" s="405"/>
      <c r="AF119" s="451">
        <v>156843.64000000001</v>
      </c>
      <c r="AG119" s="405"/>
      <c r="AH119" s="451">
        <v>498882.16</v>
      </c>
      <c r="AI119" s="405"/>
      <c r="AJ119" s="543">
        <f t="shared" si="26"/>
        <v>0</v>
      </c>
      <c r="AK119" s="405"/>
      <c r="AL119" s="466">
        <f t="shared" si="35"/>
        <v>5.0227435726754466E-3</v>
      </c>
      <c r="AM119" s="466">
        <v>2.4340910574885944E-3</v>
      </c>
      <c r="AN119" s="384">
        <v>-45914.200000000012</v>
      </c>
      <c r="AO119" s="406"/>
      <c r="AP119" s="417"/>
      <c r="AQ119" s="384">
        <f t="shared" si="36"/>
        <v>655725.80000000005</v>
      </c>
      <c r="AR119" s="405"/>
      <c r="AS119" s="404">
        <v>213826.68</v>
      </c>
      <c r="AT119" s="384">
        <f t="shared" si="37"/>
        <v>-85624.140000000014</v>
      </c>
      <c r="AU119" s="544">
        <f t="shared" si="38"/>
        <v>71219.5</v>
      </c>
      <c r="AV119" s="404">
        <v>52944</v>
      </c>
      <c r="AW119" s="404">
        <v>18275.5</v>
      </c>
    </row>
    <row r="120" spans="1:49" s="411" customFormat="1" ht="15.75" customHeight="1" x14ac:dyDescent="0.2">
      <c r="A120" s="418"/>
      <c r="B120" s="404"/>
      <c r="C120" s="410"/>
      <c r="D120" s="404"/>
      <c r="E120" s="420" t="s">
        <v>830</v>
      </c>
      <c r="F120" s="404"/>
      <c r="G120" s="419" t="s">
        <v>831</v>
      </c>
      <c r="H120" s="404"/>
      <c r="I120" s="404"/>
      <c r="J120" s="250">
        <v>2628625.7000000002</v>
      </c>
      <c r="K120" s="405"/>
      <c r="L120" s="405">
        <v>0</v>
      </c>
      <c r="M120" s="405"/>
      <c r="N120" s="405">
        <v>0</v>
      </c>
      <c r="O120" s="405"/>
      <c r="P120" s="405">
        <v>0</v>
      </c>
      <c r="Q120" s="405"/>
      <c r="R120" s="405">
        <v>10379150</v>
      </c>
      <c r="S120" s="405">
        <v>0</v>
      </c>
      <c r="T120" s="405"/>
      <c r="U120" s="405">
        <v>32851667</v>
      </c>
      <c r="V120" s="405"/>
      <c r="W120" s="404"/>
      <c r="X120" s="407"/>
      <c r="Y120" s="405">
        <f t="shared" si="24"/>
        <v>0</v>
      </c>
      <c r="Z120" s="405">
        <f t="shared" si="25"/>
        <v>354359.2200000002</v>
      </c>
      <c r="AA120" s="405"/>
      <c r="AB120" s="405">
        <v>2274266.48</v>
      </c>
      <c r="AC120" s="405"/>
      <c r="AD120" s="405"/>
      <c r="AE120" s="405"/>
      <c r="AF120" s="451">
        <v>1069441.3899999999</v>
      </c>
      <c r="AG120" s="405"/>
      <c r="AH120" s="451">
        <v>2274266.48</v>
      </c>
      <c r="AI120" s="405"/>
      <c r="AJ120" s="543">
        <f t="shared" si="26"/>
        <v>0</v>
      </c>
      <c r="AK120" s="405"/>
      <c r="AL120" s="466">
        <f t="shared" si="35"/>
        <v>2.2897305738435732E-2</v>
      </c>
      <c r="AM120" s="466">
        <v>6.1635644046671286E-3</v>
      </c>
      <c r="AN120" s="384">
        <v>-61734.280000000028</v>
      </c>
      <c r="AO120" s="406"/>
      <c r="AP120" s="417"/>
      <c r="AQ120" s="384">
        <f t="shared" si="36"/>
        <v>3343707.87</v>
      </c>
      <c r="AR120" s="405"/>
      <c r="AS120" s="411">
        <v>784790.87</v>
      </c>
      <c r="AT120" s="384">
        <f t="shared" si="37"/>
        <v>-511487.37999999989</v>
      </c>
      <c r="AU120" s="544">
        <f t="shared" si="38"/>
        <v>557954.01</v>
      </c>
      <c r="AV120" s="411">
        <v>0</v>
      </c>
      <c r="AW120" s="411">
        <v>557954.01</v>
      </c>
    </row>
    <row r="121" spans="1:49" s="411" customFormat="1" ht="15.75" customHeight="1" x14ac:dyDescent="0.2">
      <c r="A121" s="418"/>
      <c r="B121" s="404"/>
      <c r="C121" s="410"/>
      <c r="D121" s="404"/>
      <c r="E121" s="420">
        <v>38301</v>
      </c>
      <c r="F121" s="404"/>
      <c r="G121" s="419" t="s">
        <v>831</v>
      </c>
      <c r="H121" s="404"/>
      <c r="I121" s="404"/>
      <c r="J121" s="250">
        <v>0</v>
      </c>
      <c r="K121" s="405"/>
      <c r="L121" s="405"/>
      <c r="M121" s="405"/>
      <c r="N121" s="405"/>
      <c r="O121" s="405"/>
      <c r="P121" s="405"/>
      <c r="Q121" s="405"/>
      <c r="R121" s="405"/>
      <c r="S121" s="405"/>
      <c r="T121" s="405"/>
      <c r="U121" s="405"/>
      <c r="V121" s="405"/>
      <c r="W121" s="404"/>
      <c r="X121" s="407"/>
      <c r="Y121" s="405">
        <f t="shared" si="24"/>
        <v>3079020.63</v>
      </c>
      <c r="Z121" s="405">
        <f t="shared" si="25"/>
        <v>0</v>
      </c>
      <c r="AA121" s="405"/>
      <c r="AB121" s="405">
        <v>3079020.63</v>
      </c>
      <c r="AC121" s="405"/>
      <c r="AD121" s="405"/>
      <c r="AE121" s="405"/>
      <c r="AF121" s="451">
        <v>3079020.63</v>
      </c>
      <c r="AG121" s="405"/>
      <c r="AH121" s="451">
        <v>3079020.63</v>
      </c>
      <c r="AI121" s="405"/>
      <c r="AJ121" s="543">
        <f t="shared" si="26"/>
        <v>0</v>
      </c>
      <c r="AK121" s="405"/>
      <c r="AL121" s="466"/>
      <c r="AM121" s="466"/>
      <c r="AN121" s="384"/>
      <c r="AO121" s="406"/>
      <c r="AP121" s="417"/>
      <c r="AQ121" s="384"/>
      <c r="AR121" s="405"/>
      <c r="AS121" s="411">
        <v>0</v>
      </c>
      <c r="AT121" s="384"/>
      <c r="AU121" s="544"/>
    </row>
    <row r="122" spans="1:49" s="411" customFormat="1" ht="15.75" customHeight="1" x14ac:dyDescent="0.2">
      <c r="A122" s="418"/>
      <c r="B122" s="404"/>
      <c r="C122" s="410"/>
      <c r="D122" s="404"/>
      <c r="E122" s="420" t="s">
        <v>832</v>
      </c>
      <c r="F122" s="404"/>
      <c r="G122" s="419" t="s">
        <v>833</v>
      </c>
      <c r="H122" s="404"/>
      <c r="I122" s="404"/>
      <c r="J122" s="250">
        <v>118874</v>
      </c>
      <c r="K122" s="405"/>
      <c r="L122" s="405">
        <v>0</v>
      </c>
      <c r="M122" s="405"/>
      <c r="N122" s="405">
        <v>0</v>
      </c>
      <c r="O122" s="405"/>
      <c r="P122" s="405">
        <v>0</v>
      </c>
      <c r="Q122" s="405"/>
      <c r="R122" s="405">
        <v>10379150</v>
      </c>
      <c r="S122" s="405">
        <v>0</v>
      </c>
      <c r="T122" s="405"/>
      <c r="U122" s="405">
        <v>32851667</v>
      </c>
      <c r="V122" s="405"/>
      <c r="W122" s="404"/>
      <c r="X122" s="407"/>
      <c r="Y122" s="405">
        <f t="shared" si="24"/>
        <v>0</v>
      </c>
      <c r="Z122" s="405">
        <f t="shared" si="25"/>
        <v>19596.14</v>
      </c>
      <c r="AA122" s="405"/>
      <c r="AB122" s="405">
        <v>99277.86</v>
      </c>
      <c r="AC122" s="405"/>
      <c r="AD122" s="405"/>
      <c r="AE122" s="405"/>
      <c r="AF122" s="451">
        <v>45300.800000000003</v>
      </c>
      <c r="AG122" s="405"/>
      <c r="AH122" s="451">
        <v>99277.86</v>
      </c>
      <c r="AI122" s="405"/>
      <c r="AJ122" s="543">
        <f t="shared" si="26"/>
        <v>0</v>
      </c>
      <c r="AK122" s="405"/>
      <c r="AL122" s="466">
        <f>+AH122/$AL$47</f>
        <v>9.9952909365204172E-4</v>
      </c>
      <c r="AM122" s="466">
        <v>9.8952895598226507E-4</v>
      </c>
      <c r="AN122" s="384">
        <v>-25047.600000000006</v>
      </c>
      <c r="AO122" s="406"/>
      <c r="AP122" s="417"/>
      <c r="AQ122" s="384">
        <f>+AF122+AH122</f>
        <v>144578.66</v>
      </c>
      <c r="AR122" s="405"/>
      <c r="AS122" s="411">
        <v>25338.74</v>
      </c>
      <c r="AT122" s="384">
        <f>+AU122-AF122</f>
        <v>-19962.060000000001</v>
      </c>
      <c r="AU122" s="544">
        <f>+AV122+AW122</f>
        <v>25338.74</v>
      </c>
      <c r="AV122" s="411">
        <v>0</v>
      </c>
      <c r="AW122" s="411">
        <v>25338.74</v>
      </c>
    </row>
    <row r="123" spans="1:49" s="411" customFormat="1" ht="15.75" customHeight="1" x14ac:dyDescent="0.2">
      <c r="A123" s="418"/>
      <c r="B123" s="404"/>
      <c r="C123" s="410"/>
      <c r="E123" s="420">
        <v>39801</v>
      </c>
      <c r="F123" s="404"/>
      <c r="G123" s="419" t="s">
        <v>962</v>
      </c>
      <c r="H123" s="404"/>
      <c r="I123" s="404"/>
      <c r="J123" s="250">
        <v>0</v>
      </c>
      <c r="K123" s="405"/>
      <c r="L123" s="405"/>
      <c r="M123" s="405"/>
      <c r="N123" s="405"/>
      <c r="O123" s="405"/>
      <c r="P123" s="405"/>
      <c r="Q123" s="405"/>
      <c r="R123" s="405"/>
      <c r="S123" s="405"/>
      <c r="T123" s="405"/>
      <c r="U123" s="405"/>
      <c r="V123" s="405"/>
      <c r="W123" s="404"/>
      <c r="X123" s="407"/>
      <c r="Y123" s="405">
        <f t="shared" si="24"/>
        <v>76326840.489999995</v>
      </c>
      <c r="Z123" s="405">
        <f t="shared" si="25"/>
        <v>0</v>
      </c>
      <c r="AA123" s="405"/>
      <c r="AB123" s="405">
        <v>76326840.489999995</v>
      </c>
      <c r="AC123" s="405"/>
      <c r="AD123" s="405"/>
      <c r="AE123" s="405"/>
      <c r="AF123" s="451">
        <v>22057137.559999999</v>
      </c>
      <c r="AG123" s="405"/>
      <c r="AH123" s="451">
        <v>76326840.489999995</v>
      </c>
      <c r="AI123" s="405"/>
      <c r="AJ123" s="543">
        <f t="shared" si="26"/>
        <v>0</v>
      </c>
      <c r="AK123" s="405"/>
      <c r="AL123" s="466"/>
      <c r="AM123" s="466"/>
      <c r="AN123" s="384"/>
      <c r="AO123" s="406"/>
      <c r="AP123" s="417"/>
      <c r="AQ123" s="384"/>
      <c r="AR123" s="405"/>
      <c r="AS123" s="411">
        <v>0</v>
      </c>
      <c r="AT123" s="384"/>
      <c r="AU123" s="544"/>
    </row>
    <row r="124" spans="1:49" s="411" customFormat="1" ht="15.75" customHeight="1" x14ac:dyDescent="0.2">
      <c r="A124" s="418"/>
      <c r="B124" s="404"/>
      <c r="C124" s="404"/>
      <c r="E124" s="409"/>
      <c r="F124" s="404"/>
      <c r="G124" s="404"/>
      <c r="H124" s="404"/>
      <c r="I124" s="404"/>
      <c r="J124" s="250"/>
      <c r="K124" s="405"/>
      <c r="L124" s="405"/>
      <c r="M124" s="405"/>
      <c r="N124" s="405"/>
      <c r="O124" s="405"/>
      <c r="P124" s="405"/>
      <c r="Q124" s="405"/>
      <c r="R124" s="405"/>
      <c r="S124" s="405"/>
      <c r="T124" s="405"/>
      <c r="U124" s="405"/>
      <c r="V124" s="405"/>
      <c r="W124" s="404"/>
      <c r="X124" s="407"/>
      <c r="Y124" s="405"/>
      <c r="Z124" s="405"/>
      <c r="AA124" s="405"/>
      <c r="AB124" s="405"/>
      <c r="AC124" s="405"/>
      <c r="AD124" s="405"/>
      <c r="AE124" s="405"/>
      <c r="AF124" s="405"/>
      <c r="AG124" s="405"/>
      <c r="AH124" s="405"/>
      <c r="AI124" s="405"/>
      <c r="AJ124" s="543"/>
      <c r="AK124" s="405"/>
      <c r="AL124" s="414"/>
      <c r="AM124" s="466"/>
      <c r="AN124" s="385"/>
      <c r="AO124" s="422"/>
      <c r="AQ124" s="75"/>
      <c r="AR124" s="404"/>
    </row>
    <row r="125" spans="1:49" s="411" customFormat="1" ht="15.75" customHeight="1" x14ac:dyDescent="0.2">
      <c r="A125" s="423"/>
      <c r="B125" s="411" t="s">
        <v>74</v>
      </c>
      <c r="G125" s="412"/>
      <c r="J125" s="75">
        <f>SUM(J127:J129)</f>
        <v>1873955</v>
      </c>
      <c r="K125" s="75"/>
      <c r="L125" s="75">
        <f t="shared" ref="L125:Z125" si="39">SUM(L127:L129)</f>
        <v>0</v>
      </c>
      <c r="M125" s="75">
        <f t="shared" si="39"/>
        <v>0</v>
      </c>
      <c r="N125" s="75">
        <f t="shared" si="39"/>
        <v>0</v>
      </c>
      <c r="O125" s="75">
        <f t="shared" si="39"/>
        <v>0</v>
      </c>
      <c r="P125" s="75">
        <f t="shared" si="39"/>
        <v>0</v>
      </c>
      <c r="Q125" s="75">
        <f t="shared" si="39"/>
        <v>0</v>
      </c>
      <c r="R125" s="75">
        <f t="shared" si="39"/>
        <v>243592</v>
      </c>
      <c r="S125" s="75">
        <f t="shared" si="39"/>
        <v>0</v>
      </c>
      <c r="T125" s="75">
        <f t="shared" si="39"/>
        <v>0</v>
      </c>
      <c r="U125" s="75">
        <f t="shared" si="39"/>
        <v>2090997</v>
      </c>
      <c r="V125" s="75">
        <f t="shared" si="39"/>
        <v>0</v>
      </c>
      <c r="W125" s="75">
        <f t="shared" si="39"/>
        <v>0</v>
      </c>
      <c r="X125" s="75">
        <f t="shared" si="39"/>
        <v>0</v>
      </c>
      <c r="Y125" s="75">
        <f t="shared" si="39"/>
        <v>230508654.66</v>
      </c>
      <c r="Z125" s="75">
        <f t="shared" si="39"/>
        <v>0</v>
      </c>
      <c r="AA125" s="75"/>
      <c r="AB125" s="75">
        <f>SUM(AB127:AB129)</f>
        <v>232382609.66</v>
      </c>
      <c r="AC125" s="75"/>
      <c r="AD125" s="75">
        <f>SUM(AD127:AD129)</f>
        <v>0</v>
      </c>
      <c r="AE125" s="75">
        <f>SUM(AE127:AE129)</f>
        <v>0</v>
      </c>
      <c r="AF125" s="450">
        <f>SUM(AF127:AF129)</f>
        <v>63345738.199999996</v>
      </c>
      <c r="AG125" s="450"/>
      <c r="AH125" s="450">
        <f>SUM(AH127:AH129)</f>
        <v>232382609.66</v>
      </c>
      <c r="AI125" s="75"/>
      <c r="AJ125" s="545">
        <f>SUM(AJ127:AJ129)</f>
        <v>0</v>
      </c>
      <c r="AK125" s="415"/>
      <c r="AL125" s="466"/>
      <c r="AM125" s="466"/>
      <c r="AN125" s="384"/>
      <c r="AO125" s="406"/>
      <c r="AQ125" s="405"/>
      <c r="AR125" s="405"/>
      <c r="AS125" s="411">
        <v>166703659</v>
      </c>
      <c r="AT125" s="415">
        <f>+AS125-AH125</f>
        <v>-65678950.659999996</v>
      </c>
    </row>
    <row r="126" spans="1:49" s="411" customFormat="1" ht="10.5" customHeight="1" x14ac:dyDescent="0.2">
      <c r="A126" s="423"/>
      <c r="G126" s="412"/>
      <c r="J126" s="75"/>
      <c r="K126" s="415"/>
      <c r="L126" s="415"/>
      <c r="M126" s="415"/>
      <c r="N126" s="415"/>
      <c r="O126" s="415"/>
      <c r="P126" s="415"/>
      <c r="Q126" s="415"/>
      <c r="R126" s="415"/>
      <c r="S126" s="415"/>
      <c r="T126" s="415"/>
      <c r="U126" s="415"/>
      <c r="V126" s="415"/>
      <c r="W126" s="421"/>
      <c r="X126" s="421"/>
      <c r="Y126" s="415"/>
      <c r="Z126" s="415"/>
      <c r="AA126" s="415"/>
      <c r="AB126" s="415"/>
      <c r="AC126" s="415"/>
      <c r="AD126" s="415"/>
      <c r="AE126" s="415"/>
      <c r="AF126" s="415"/>
      <c r="AG126" s="415"/>
      <c r="AH126" s="415"/>
      <c r="AI126" s="415"/>
      <c r="AJ126" s="542"/>
      <c r="AK126" s="415"/>
      <c r="AL126" s="466"/>
      <c r="AM126" s="466"/>
      <c r="AN126" s="384"/>
      <c r="AO126" s="406"/>
      <c r="AQ126" s="405"/>
      <c r="AR126" s="405"/>
    </row>
    <row r="127" spans="1:49" s="404" customFormat="1" ht="16.5" customHeight="1" x14ac:dyDescent="0.2">
      <c r="A127" s="423"/>
      <c r="B127" s="411"/>
      <c r="C127" s="411"/>
      <c r="D127" s="411"/>
      <c r="E127" s="420" t="s">
        <v>834</v>
      </c>
      <c r="F127" s="411"/>
      <c r="G127" s="419" t="s">
        <v>835</v>
      </c>
      <c r="H127" s="421"/>
      <c r="I127" s="411"/>
      <c r="J127" s="250">
        <v>0</v>
      </c>
      <c r="K127" s="415"/>
      <c r="L127" s="415">
        <v>0</v>
      </c>
      <c r="M127" s="415"/>
      <c r="N127" s="415">
        <v>0</v>
      </c>
      <c r="O127" s="415"/>
      <c r="P127" s="415">
        <v>0</v>
      </c>
      <c r="Q127" s="405"/>
      <c r="R127" s="415">
        <v>243592</v>
      </c>
      <c r="S127" s="415">
        <v>0</v>
      </c>
      <c r="T127" s="415"/>
      <c r="U127" s="415">
        <v>2023497</v>
      </c>
      <c r="V127" s="415"/>
      <c r="W127" s="411"/>
      <c r="X127" s="407"/>
      <c r="Y127" s="405">
        <f>+IF((J127-AB127)&lt;0,AB127-J127,0)</f>
        <v>228543114.66</v>
      </c>
      <c r="Z127" s="405">
        <f>+IF((J127-AB127)&lt;0,0,J127-AB127)</f>
        <v>0</v>
      </c>
      <c r="AA127" s="415"/>
      <c r="AB127" s="405">
        <v>228543114.66</v>
      </c>
      <c r="AC127" s="405"/>
      <c r="AD127" s="405"/>
      <c r="AE127" s="415"/>
      <c r="AF127" s="405">
        <v>62407973.199999996</v>
      </c>
      <c r="AG127" s="405"/>
      <c r="AH127" s="451">
        <v>228543114.66</v>
      </c>
      <c r="AI127" s="415"/>
      <c r="AJ127" s="543">
        <f>+AB127-AH127</f>
        <v>0</v>
      </c>
      <c r="AK127" s="415"/>
      <c r="AL127" s="466">
        <f>+AH127/$AL$47</f>
        <v>2.3009711556687908</v>
      </c>
      <c r="AM127" s="466">
        <v>1.287633758637231E-2</v>
      </c>
      <c r="AN127" s="384"/>
      <c r="AO127" s="406"/>
      <c r="AP127" s="411"/>
      <c r="AQ127" s="384">
        <f>+AF127+AH127</f>
        <v>290951087.86000001</v>
      </c>
      <c r="AR127" s="405">
        <v>437709336</v>
      </c>
      <c r="AS127" s="404">
        <v>164757443.16</v>
      </c>
    </row>
    <row r="128" spans="1:49" s="404" customFormat="1" ht="16.5" customHeight="1" x14ac:dyDescent="0.2">
      <c r="A128" s="423"/>
      <c r="B128" s="411"/>
      <c r="C128" s="411"/>
      <c r="D128" s="411"/>
      <c r="E128" s="420" t="s">
        <v>836</v>
      </c>
      <c r="F128" s="411"/>
      <c r="G128" s="419" t="s">
        <v>837</v>
      </c>
      <c r="H128" s="421"/>
      <c r="I128" s="411"/>
      <c r="J128" s="250">
        <v>1873955</v>
      </c>
      <c r="K128" s="415"/>
      <c r="L128" s="415">
        <v>0</v>
      </c>
      <c r="M128" s="415"/>
      <c r="N128" s="415">
        <v>0</v>
      </c>
      <c r="O128" s="415"/>
      <c r="P128" s="415">
        <v>0</v>
      </c>
      <c r="Q128" s="405"/>
      <c r="R128" s="415">
        <v>0</v>
      </c>
      <c r="S128" s="415">
        <v>0</v>
      </c>
      <c r="T128" s="415"/>
      <c r="U128" s="415">
        <v>33750</v>
      </c>
      <c r="V128" s="415"/>
      <c r="W128" s="411"/>
      <c r="X128" s="407"/>
      <c r="Y128" s="405">
        <f>+IF((J128-AB128)&lt;0,AB128-J128,0)</f>
        <v>621360</v>
      </c>
      <c r="Z128" s="405">
        <f>+IF((J128-AB128)&lt;0,0,J128-AB128)</f>
        <v>0</v>
      </c>
      <c r="AA128" s="415"/>
      <c r="AB128" s="405">
        <v>2495315</v>
      </c>
      <c r="AC128" s="405"/>
      <c r="AD128" s="405">
        <v>0</v>
      </c>
      <c r="AE128" s="415"/>
      <c r="AF128" s="451">
        <v>932485</v>
      </c>
      <c r="AG128" s="405"/>
      <c r="AH128" s="451">
        <v>2495315</v>
      </c>
      <c r="AI128" s="415"/>
      <c r="AJ128" s="543">
        <f>+AB128-AH128</f>
        <v>0</v>
      </c>
      <c r="AK128" s="415"/>
      <c r="AL128" s="466"/>
      <c r="AM128" s="466"/>
      <c r="AN128" s="384"/>
      <c r="AO128" s="406"/>
      <c r="AP128" s="411"/>
      <c r="AQ128" s="384"/>
      <c r="AR128" s="405"/>
      <c r="AS128" s="404">
        <v>1140875</v>
      </c>
    </row>
    <row r="129" spans="1:47" s="404" customFormat="1" ht="16.5" customHeight="1" x14ac:dyDescent="0.2">
      <c r="A129" s="423"/>
      <c r="B129" s="411"/>
      <c r="C129" s="411"/>
      <c r="D129" s="411"/>
      <c r="E129" s="420" t="s">
        <v>900</v>
      </c>
      <c r="F129" s="411"/>
      <c r="G129" s="419" t="s">
        <v>901</v>
      </c>
      <c r="H129" s="421"/>
      <c r="I129" s="411"/>
      <c r="J129" s="250">
        <v>0</v>
      </c>
      <c r="K129" s="415"/>
      <c r="L129" s="415">
        <v>0</v>
      </c>
      <c r="M129" s="415"/>
      <c r="N129" s="415">
        <v>0</v>
      </c>
      <c r="O129" s="415"/>
      <c r="P129" s="415">
        <v>0</v>
      </c>
      <c r="Q129" s="405"/>
      <c r="R129" s="415">
        <v>0</v>
      </c>
      <c r="S129" s="415">
        <v>0</v>
      </c>
      <c r="T129" s="415"/>
      <c r="U129" s="415">
        <v>33750</v>
      </c>
      <c r="V129" s="415"/>
      <c r="W129" s="411"/>
      <c r="X129" s="407"/>
      <c r="Y129" s="405">
        <f>+IF((J129-AB129)&lt;0,AB129-J129,0)</f>
        <v>1344180</v>
      </c>
      <c r="Z129" s="405">
        <f>+IF((J129-AB129)&lt;0,0,J129-AB129)</f>
        <v>0</v>
      </c>
      <c r="AA129" s="415"/>
      <c r="AB129" s="405">
        <v>1344180</v>
      </c>
      <c r="AC129" s="405"/>
      <c r="AD129" s="405">
        <v>0</v>
      </c>
      <c r="AE129" s="415"/>
      <c r="AF129" s="451">
        <v>5280</v>
      </c>
      <c r="AG129" s="405"/>
      <c r="AH129" s="451">
        <v>1344180</v>
      </c>
      <c r="AI129" s="415"/>
      <c r="AJ129" s="543">
        <f>+AB129-AH129</f>
        <v>0</v>
      </c>
      <c r="AK129" s="415"/>
      <c r="AL129" s="466">
        <f>+AH129/$AL$47</f>
        <v>1.3533198812959923E-2</v>
      </c>
      <c r="AM129" s="466">
        <v>1.9632592127000736E-5</v>
      </c>
      <c r="AN129" s="384"/>
      <c r="AO129" s="406"/>
      <c r="AP129" s="411"/>
      <c r="AQ129" s="384">
        <f>+AF129+AH129</f>
        <v>1349460</v>
      </c>
      <c r="AR129" s="405"/>
      <c r="AS129" s="404">
        <v>805340</v>
      </c>
      <c r="AU129" s="404">
        <v>5000</v>
      </c>
    </row>
    <row r="130" spans="1:47" s="404" customFormat="1" ht="16.5" customHeight="1" x14ac:dyDescent="0.2">
      <c r="A130" s="416"/>
      <c r="B130" s="411"/>
      <c r="C130" s="411"/>
      <c r="D130" s="411"/>
      <c r="E130" s="410"/>
      <c r="F130" s="411"/>
      <c r="G130" s="408"/>
      <c r="H130" s="411"/>
      <c r="I130" s="411"/>
      <c r="J130" s="250"/>
      <c r="K130" s="411"/>
      <c r="L130" s="411"/>
      <c r="M130" s="411"/>
      <c r="N130" s="411"/>
      <c r="O130" s="411"/>
      <c r="P130" s="411"/>
      <c r="Q130" s="405"/>
      <c r="R130" s="411"/>
      <c r="S130" s="407"/>
      <c r="T130" s="411"/>
      <c r="U130" s="411"/>
      <c r="V130" s="411"/>
      <c r="W130" s="421"/>
      <c r="X130" s="421"/>
      <c r="Y130" s="405"/>
      <c r="Z130" s="405"/>
      <c r="AA130" s="411"/>
      <c r="AB130" s="405"/>
      <c r="AC130" s="405"/>
      <c r="AD130" s="405"/>
      <c r="AE130" s="411"/>
      <c r="AF130" s="405"/>
      <c r="AG130" s="405"/>
      <c r="AH130" s="405"/>
      <c r="AI130" s="411"/>
      <c r="AJ130" s="543"/>
      <c r="AK130" s="415"/>
      <c r="AL130" s="417"/>
      <c r="AM130" s="466"/>
      <c r="AN130" s="384"/>
      <c r="AO130" s="406"/>
      <c r="AQ130" s="75"/>
      <c r="AS130" s="404">
        <v>1333620</v>
      </c>
      <c r="AU130" s="405">
        <f>+AH129-AU129</f>
        <v>1339180</v>
      </c>
    </row>
    <row r="131" spans="1:47" s="404" customFormat="1" ht="15.75" customHeight="1" x14ac:dyDescent="0.2">
      <c r="A131" s="416"/>
      <c r="B131" s="411" t="s">
        <v>103</v>
      </c>
      <c r="C131" s="411"/>
      <c r="D131" s="411"/>
      <c r="E131" s="413"/>
      <c r="F131" s="411"/>
      <c r="G131" s="412"/>
      <c r="H131" s="411"/>
      <c r="I131" s="411"/>
      <c r="J131" s="75">
        <f>SUM(J132:J143)</f>
        <v>0</v>
      </c>
      <c r="K131" s="75"/>
      <c r="L131" s="75">
        <f t="shared" ref="L131:X131" si="40">SUM(L132:L132)</f>
        <v>0</v>
      </c>
      <c r="M131" s="75">
        <f t="shared" si="40"/>
        <v>0</v>
      </c>
      <c r="N131" s="75">
        <f t="shared" si="40"/>
        <v>0</v>
      </c>
      <c r="O131" s="75">
        <f t="shared" si="40"/>
        <v>0</v>
      </c>
      <c r="P131" s="75">
        <f t="shared" si="40"/>
        <v>0</v>
      </c>
      <c r="Q131" s="75">
        <f t="shared" si="40"/>
        <v>0</v>
      </c>
      <c r="R131" s="75">
        <f t="shared" si="40"/>
        <v>0</v>
      </c>
      <c r="S131" s="75">
        <f t="shared" si="40"/>
        <v>0</v>
      </c>
      <c r="T131" s="75">
        <f t="shared" si="40"/>
        <v>0</v>
      </c>
      <c r="U131" s="75">
        <f t="shared" si="40"/>
        <v>0</v>
      </c>
      <c r="V131" s="75">
        <f t="shared" si="40"/>
        <v>0</v>
      </c>
      <c r="W131" s="75">
        <f t="shared" si="40"/>
        <v>0</v>
      </c>
      <c r="X131" s="75">
        <f t="shared" si="40"/>
        <v>0</v>
      </c>
      <c r="Y131" s="75">
        <f>SUM(Y132:Y143)</f>
        <v>1753693.9500000002</v>
      </c>
      <c r="Z131" s="75">
        <f>SUM(Z132:Z143)</f>
        <v>0</v>
      </c>
      <c r="AA131" s="75"/>
      <c r="AB131" s="75">
        <f>SUM(AB132:AB143)</f>
        <v>1753693.9500000002</v>
      </c>
      <c r="AC131" s="75"/>
      <c r="AD131" s="75">
        <f>SUM(AD132:AD132)</f>
        <v>0</v>
      </c>
      <c r="AE131" s="75"/>
      <c r="AF131" s="75">
        <f>SUM(AF132:AF143)</f>
        <v>1106378.95</v>
      </c>
      <c r="AG131" s="75"/>
      <c r="AH131" s="75">
        <f>SUM(AH132:AH143)</f>
        <v>1753693.9500000002</v>
      </c>
      <c r="AI131" s="75"/>
      <c r="AJ131" s="75">
        <f>SUM(AJ132:AJ143)</f>
        <v>0</v>
      </c>
      <c r="AK131" s="405"/>
      <c r="AL131" s="417"/>
      <c r="AM131" s="466"/>
      <c r="AN131" s="384"/>
      <c r="AO131" s="406"/>
      <c r="AP131" s="417"/>
      <c r="AQ131" s="384"/>
      <c r="AR131" s="405"/>
      <c r="AS131" s="405">
        <f>+AS130-AH129</f>
        <v>-10560</v>
      </c>
      <c r="AU131" s="405">
        <f>+AH129+AU129</f>
        <v>1349180</v>
      </c>
    </row>
    <row r="132" spans="1:47" ht="11.25" customHeight="1" x14ac:dyDescent="0.2">
      <c r="A132" s="416"/>
      <c r="B132" s="411"/>
      <c r="C132" s="411"/>
      <c r="D132" s="411"/>
      <c r="E132" s="413"/>
      <c r="F132" s="411"/>
      <c r="G132" s="412"/>
      <c r="H132" s="411"/>
      <c r="I132" s="411"/>
      <c r="J132" s="75"/>
      <c r="K132" s="415"/>
      <c r="L132" s="415"/>
      <c r="M132" s="415"/>
      <c r="N132" s="415"/>
      <c r="O132" s="415"/>
      <c r="P132" s="415"/>
      <c r="Q132" s="415"/>
      <c r="R132" s="415"/>
      <c r="S132" s="415"/>
      <c r="T132" s="415"/>
      <c r="U132" s="415"/>
      <c r="V132" s="415"/>
      <c r="W132" s="421"/>
      <c r="X132" s="421"/>
      <c r="Y132" s="415"/>
      <c r="Z132" s="415"/>
      <c r="AA132" s="415"/>
      <c r="AB132" s="415"/>
      <c r="AC132" s="415"/>
      <c r="AD132" s="415"/>
      <c r="AE132" s="415"/>
      <c r="AF132" s="415"/>
      <c r="AG132" s="415"/>
      <c r="AH132" s="415"/>
      <c r="AI132" s="415"/>
      <c r="AJ132" s="542"/>
      <c r="AK132" s="405"/>
      <c r="AL132" s="417"/>
      <c r="AM132" s="466"/>
      <c r="AN132" s="384"/>
      <c r="AO132" s="406"/>
      <c r="AP132" s="417"/>
      <c r="AQ132" s="417"/>
      <c r="AR132" s="405"/>
    </row>
    <row r="133" spans="1:47" ht="15" x14ac:dyDescent="0.2">
      <c r="A133" s="416"/>
      <c r="B133" s="411"/>
      <c r="C133" s="410"/>
      <c r="D133" s="411"/>
      <c r="E133" s="409">
        <v>51101</v>
      </c>
      <c r="F133" s="411"/>
      <c r="G133" s="408" t="s">
        <v>995</v>
      </c>
      <c r="H133" s="411"/>
      <c r="I133" s="411"/>
      <c r="J133" s="250">
        <v>0</v>
      </c>
      <c r="K133" s="415"/>
      <c r="L133" s="415"/>
      <c r="M133" s="415"/>
      <c r="N133" s="415"/>
      <c r="O133" s="415"/>
      <c r="P133" s="415"/>
      <c r="Q133" s="415"/>
      <c r="R133" s="415"/>
      <c r="S133" s="415"/>
      <c r="T133" s="415"/>
      <c r="U133" s="415"/>
      <c r="V133" s="415"/>
      <c r="W133" s="421"/>
      <c r="X133" s="421"/>
      <c r="Y133" s="405">
        <f t="shared" ref="Y133:Y143" si="41">+IF((J133-AB133)&lt;0,AB133-J133,0)</f>
        <v>43340.7</v>
      </c>
      <c r="Z133" s="405">
        <f t="shared" ref="Z133:Z143" si="42">+IF((J133-AB133)&lt;0,0,J133-AB133)</f>
        <v>0</v>
      </c>
      <c r="AA133" s="415"/>
      <c r="AB133" s="405">
        <v>43340.7</v>
      </c>
      <c r="AC133" s="405"/>
      <c r="AD133" s="405"/>
      <c r="AE133" s="405"/>
      <c r="AF133" s="405">
        <v>43340.7</v>
      </c>
      <c r="AG133" s="415"/>
      <c r="AH133" s="405">
        <v>43340.7</v>
      </c>
      <c r="AI133" s="415"/>
      <c r="AJ133" s="543">
        <f t="shared" ref="AJ133:AJ143" si="43">+AB133-AH133</f>
        <v>0</v>
      </c>
      <c r="AK133" s="405"/>
      <c r="AL133" s="417"/>
      <c r="AM133" s="466"/>
      <c r="AN133" s="384"/>
      <c r="AO133" s="406"/>
      <c r="AP133" s="417"/>
      <c r="AQ133" s="417"/>
      <c r="AR133" s="405"/>
    </row>
    <row r="134" spans="1:47" ht="18.75" customHeight="1" x14ac:dyDescent="0.2">
      <c r="A134" s="416"/>
      <c r="B134" s="411"/>
      <c r="C134" s="410"/>
      <c r="D134" s="411"/>
      <c r="E134" s="409" t="s">
        <v>952</v>
      </c>
      <c r="F134" s="411"/>
      <c r="G134" s="404" t="s">
        <v>953</v>
      </c>
      <c r="H134" s="411"/>
      <c r="I134" s="411"/>
      <c r="J134" s="250">
        <v>0</v>
      </c>
      <c r="K134" s="415"/>
      <c r="L134" s="415"/>
      <c r="M134" s="415"/>
      <c r="N134" s="415"/>
      <c r="O134" s="415"/>
      <c r="P134" s="415"/>
      <c r="Q134" s="415"/>
      <c r="R134" s="415"/>
      <c r="S134" s="415"/>
      <c r="T134" s="415"/>
      <c r="U134" s="415"/>
      <c r="V134" s="415"/>
      <c r="W134" s="421"/>
      <c r="X134" s="421"/>
      <c r="Y134" s="405">
        <f t="shared" si="41"/>
        <v>797954.75</v>
      </c>
      <c r="Z134" s="405">
        <f t="shared" si="42"/>
        <v>0</v>
      </c>
      <c r="AA134" s="415"/>
      <c r="AB134" s="405">
        <v>797954.75</v>
      </c>
      <c r="AC134" s="415"/>
      <c r="AD134" s="415"/>
      <c r="AE134" s="415"/>
      <c r="AF134" s="405">
        <v>298857.79000000004</v>
      </c>
      <c r="AG134" s="415"/>
      <c r="AH134" s="451">
        <v>797954.75</v>
      </c>
      <c r="AI134" s="415"/>
      <c r="AJ134" s="543">
        <f t="shared" si="43"/>
        <v>0</v>
      </c>
      <c r="AK134" s="405"/>
      <c r="AL134" s="417"/>
      <c r="AM134" s="466"/>
      <c r="AN134" s="384"/>
      <c r="AO134" s="406"/>
      <c r="AP134" s="417"/>
      <c r="AQ134" s="417"/>
      <c r="AR134" s="405"/>
      <c r="AS134" s="312">
        <v>0</v>
      </c>
    </row>
    <row r="135" spans="1:47" ht="18.75" customHeight="1" x14ac:dyDescent="0.2">
      <c r="A135" s="416"/>
      <c r="B135" s="411"/>
      <c r="C135" s="410"/>
      <c r="D135" s="411"/>
      <c r="E135" s="409" t="s">
        <v>954</v>
      </c>
      <c r="F135" s="411"/>
      <c r="G135" s="404" t="s">
        <v>955</v>
      </c>
      <c r="H135" s="411"/>
      <c r="I135" s="411"/>
      <c r="J135" s="250">
        <v>0</v>
      </c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21"/>
      <c r="X135" s="421"/>
      <c r="Y135" s="405">
        <f t="shared" si="41"/>
        <v>279469.71999999997</v>
      </c>
      <c r="Z135" s="405">
        <f t="shared" si="42"/>
        <v>0</v>
      </c>
      <c r="AA135" s="415"/>
      <c r="AB135" s="405">
        <v>279469.71999999997</v>
      </c>
      <c r="AC135" s="415"/>
      <c r="AD135" s="415"/>
      <c r="AE135" s="415"/>
      <c r="AF135" s="405">
        <v>265158.92</v>
      </c>
      <c r="AG135" s="415"/>
      <c r="AH135" s="451">
        <v>279469.71999999997</v>
      </c>
      <c r="AI135" s="415"/>
      <c r="AJ135" s="543">
        <f t="shared" si="43"/>
        <v>0</v>
      </c>
      <c r="AK135" s="405"/>
      <c r="AL135" s="417"/>
      <c r="AM135" s="466"/>
      <c r="AN135" s="384"/>
      <c r="AO135" s="406"/>
      <c r="AP135" s="417"/>
      <c r="AQ135" s="417"/>
      <c r="AR135" s="405"/>
      <c r="AS135" s="312">
        <v>5494.8</v>
      </c>
    </row>
    <row r="136" spans="1:47" ht="18.75" customHeight="1" x14ac:dyDescent="0.2">
      <c r="A136" s="416"/>
      <c r="B136" s="411"/>
      <c r="C136" s="410"/>
      <c r="D136" s="411"/>
      <c r="E136" s="409">
        <v>52901</v>
      </c>
      <c r="F136" s="411"/>
      <c r="G136" s="404" t="s">
        <v>994</v>
      </c>
      <c r="H136" s="411"/>
      <c r="I136" s="411"/>
      <c r="J136" s="250">
        <v>0</v>
      </c>
      <c r="K136" s="415"/>
      <c r="L136" s="415"/>
      <c r="M136" s="415"/>
      <c r="N136" s="415"/>
      <c r="O136" s="415"/>
      <c r="P136" s="415"/>
      <c r="Q136" s="415"/>
      <c r="R136" s="415"/>
      <c r="S136" s="415"/>
      <c r="T136" s="415"/>
      <c r="U136" s="415"/>
      <c r="V136" s="415"/>
      <c r="W136" s="421"/>
      <c r="X136" s="421"/>
      <c r="Y136" s="405">
        <f t="shared" si="41"/>
        <v>141670.79999999999</v>
      </c>
      <c r="Z136" s="405">
        <f t="shared" si="42"/>
        <v>0</v>
      </c>
      <c r="AA136" s="415"/>
      <c r="AB136" s="405">
        <v>141670.79999999999</v>
      </c>
      <c r="AC136" s="415"/>
      <c r="AD136" s="415"/>
      <c r="AE136" s="415"/>
      <c r="AF136" s="405">
        <v>141670.79999999999</v>
      </c>
      <c r="AG136" s="415"/>
      <c r="AH136" s="451">
        <v>141670.79999999999</v>
      </c>
      <c r="AI136" s="415"/>
      <c r="AJ136" s="543">
        <f t="shared" si="43"/>
        <v>0</v>
      </c>
      <c r="AK136" s="405"/>
      <c r="AL136" s="417"/>
      <c r="AM136" s="466"/>
      <c r="AN136" s="384"/>
      <c r="AO136" s="406"/>
      <c r="AP136" s="417"/>
      <c r="AQ136" s="417"/>
      <c r="AR136" s="405"/>
    </row>
    <row r="137" spans="1:47" ht="18.75" customHeight="1" x14ac:dyDescent="0.2">
      <c r="A137" s="416"/>
      <c r="B137" s="411"/>
      <c r="C137" s="410"/>
      <c r="D137" s="411"/>
      <c r="E137" s="409">
        <v>53101</v>
      </c>
      <c r="F137" s="411"/>
      <c r="G137" s="404" t="s">
        <v>993</v>
      </c>
      <c r="H137" s="411"/>
      <c r="I137" s="411"/>
      <c r="J137" s="250">
        <v>0</v>
      </c>
      <c r="K137" s="415"/>
      <c r="L137" s="415"/>
      <c r="M137" s="415"/>
      <c r="N137" s="415"/>
      <c r="O137" s="415"/>
      <c r="P137" s="415"/>
      <c r="Q137" s="415"/>
      <c r="R137" s="415"/>
      <c r="S137" s="415"/>
      <c r="T137" s="415"/>
      <c r="U137" s="415"/>
      <c r="V137" s="415"/>
      <c r="W137" s="421"/>
      <c r="X137" s="421"/>
      <c r="Y137" s="405">
        <f t="shared" si="41"/>
        <v>3755.24</v>
      </c>
      <c r="Z137" s="405">
        <f t="shared" si="42"/>
        <v>0</v>
      </c>
      <c r="AA137" s="415"/>
      <c r="AB137" s="405">
        <v>3755.24</v>
      </c>
      <c r="AC137" s="415"/>
      <c r="AD137" s="415"/>
      <c r="AE137" s="415"/>
      <c r="AF137" s="405">
        <v>0</v>
      </c>
      <c r="AG137" s="415"/>
      <c r="AH137" s="451">
        <v>3755.24</v>
      </c>
      <c r="AI137" s="415"/>
      <c r="AJ137" s="543">
        <f t="shared" si="43"/>
        <v>0</v>
      </c>
      <c r="AK137" s="405"/>
      <c r="AL137" s="417"/>
      <c r="AM137" s="466"/>
      <c r="AN137" s="384"/>
      <c r="AO137" s="406"/>
      <c r="AP137" s="417"/>
      <c r="AQ137" s="417"/>
      <c r="AR137" s="405"/>
      <c r="AS137" s="312">
        <v>0</v>
      </c>
    </row>
    <row r="138" spans="1:47" ht="18.75" customHeight="1" x14ac:dyDescent="0.2">
      <c r="A138" s="416"/>
      <c r="B138" s="411"/>
      <c r="C138" s="410"/>
      <c r="D138" s="411"/>
      <c r="E138" s="409">
        <v>53201</v>
      </c>
      <c r="F138" s="411"/>
      <c r="G138" s="404" t="s">
        <v>992</v>
      </c>
      <c r="H138" s="411"/>
      <c r="I138" s="411"/>
      <c r="J138" s="250">
        <v>0</v>
      </c>
      <c r="K138" s="415"/>
      <c r="L138" s="415"/>
      <c r="M138" s="415"/>
      <c r="N138" s="415"/>
      <c r="O138" s="415"/>
      <c r="P138" s="415"/>
      <c r="Q138" s="415"/>
      <c r="R138" s="415"/>
      <c r="S138" s="415"/>
      <c r="T138" s="415"/>
      <c r="U138" s="415"/>
      <c r="V138" s="415"/>
      <c r="W138" s="421"/>
      <c r="X138" s="421"/>
      <c r="Y138" s="405">
        <f t="shared" si="41"/>
        <v>3082.12</v>
      </c>
      <c r="Z138" s="405">
        <f t="shared" si="42"/>
        <v>0</v>
      </c>
      <c r="AA138" s="415"/>
      <c r="AB138" s="405">
        <v>3082.12</v>
      </c>
      <c r="AC138" s="415"/>
      <c r="AD138" s="415"/>
      <c r="AE138" s="415"/>
      <c r="AF138" s="405">
        <v>3082.12</v>
      </c>
      <c r="AG138" s="415"/>
      <c r="AH138" s="451">
        <v>3082.12</v>
      </c>
      <c r="AI138" s="415"/>
      <c r="AJ138" s="543">
        <f t="shared" si="43"/>
        <v>0</v>
      </c>
      <c r="AK138" s="405"/>
      <c r="AL138" s="417"/>
      <c r="AM138" s="466"/>
      <c r="AN138" s="384"/>
      <c r="AO138" s="406"/>
      <c r="AP138" s="417"/>
      <c r="AQ138" s="417"/>
      <c r="AR138" s="405"/>
    </row>
    <row r="139" spans="1:47" ht="18.75" customHeight="1" x14ac:dyDescent="0.2">
      <c r="A139" s="416"/>
      <c r="B139" s="411"/>
      <c r="C139" s="410"/>
      <c r="D139" s="411"/>
      <c r="E139" s="409">
        <v>54101</v>
      </c>
      <c r="F139" s="411"/>
      <c r="G139" s="404" t="s">
        <v>991</v>
      </c>
      <c r="H139" s="411"/>
      <c r="I139" s="411"/>
      <c r="J139" s="250">
        <v>0</v>
      </c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21"/>
      <c r="X139" s="421"/>
      <c r="Y139" s="405">
        <f t="shared" si="41"/>
        <v>243800</v>
      </c>
      <c r="Z139" s="405">
        <f t="shared" si="42"/>
        <v>0</v>
      </c>
      <c r="AA139" s="415"/>
      <c r="AB139" s="405">
        <v>243800</v>
      </c>
      <c r="AC139" s="415"/>
      <c r="AD139" s="415"/>
      <c r="AE139" s="415"/>
      <c r="AF139" s="405">
        <v>243800</v>
      </c>
      <c r="AG139" s="415"/>
      <c r="AH139" s="451">
        <v>243800</v>
      </c>
      <c r="AI139" s="415"/>
      <c r="AJ139" s="543">
        <f t="shared" si="43"/>
        <v>0</v>
      </c>
      <c r="AK139" s="405"/>
      <c r="AL139" s="417"/>
      <c r="AM139" s="466"/>
      <c r="AN139" s="384"/>
      <c r="AO139" s="406"/>
      <c r="AP139" s="417"/>
      <c r="AQ139" s="417"/>
      <c r="AR139" s="405"/>
    </row>
    <row r="140" spans="1:47" ht="18.75" customHeight="1" x14ac:dyDescent="0.2">
      <c r="A140" s="416"/>
      <c r="B140" s="411"/>
      <c r="C140" s="410"/>
      <c r="D140" s="411"/>
      <c r="E140" s="409">
        <v>56201</v>
      </c>
      <c r="F140" s="411"/>
      <c r="G140" s="404" t="s">
        <v>990</v>
      </c>
      <c r="H140" s="411"/>
      <c r="I140" s="411"/>
      <c r="J140" s="250">
        <v>0</v>
      </c>
      <c r="K140" s="415"/>
      <c r="L140" s="415"/>
      <c r="M140" s="415"/>
      <c r="N140" s="415"/>
      <c r="O140" s="415"/>
      <c r="P140" s="415"/>
      <c r="Q140" s="415"/>
      <c r="R140" s="415"/>
      <c r="S140" s="415"/>
      <c r="T140" s="415"/>
      <c r="U140" s="415"/>
      <c r="V140" s="415"/>
      <c r="W140" s="421"/>
      <c r="X140" s="421"/>
      <c r="Y140" s="405">
        <f t="shared" si="41"/>
        <v>24990</v>
      </c>
      <c r="Z140" s="405">
        <f t="shared" si="42"/>
        <v>0</v>
      </c>
      <c r="AA140" s="415"/>
      <c r="AB140" s="405">
        <v>24990</v>
      </c>
      <c r="AC140" s="415"/>
      <c r="AD140" s="415"/>
      <c r="AE140" s="415"/>
      <c r="AF140" s="405">
        <v>24990</v>
      </c>
      <c r="AG140" s="415"/>
      <c r="AH140" s="451">
        <v>24990</v>
      </c>
      <c r="AI140" s="415"/>
      <c r="AJ140" s="543">
        <f t="shared" si="43"/>
        <v>0</v>
      </c>
      <c r="AK140" s="405"/>
      <c r="AL140" s="417"/>
      <c r="AM140" s="466"/>
      <c r="AN140" s="384"/>
      <c r="AO140" s="406"/>
      <c r="AP140" s="417"/>
      <c r="AQ140" s="417"/>
      <c r="AR140" s="405"/>
    </row>
    <row r="141" spans="1:47" ht="18.75" customHeight="1" x14ac:dyDescent="0.2">
      <c r="A141" s="416"/>
      <c r="B141" s="411"/>
      <c r="C141" s="410"/>
      <c r="D141" s="404"/>
      <c r="E141" s="410" t="s">
        <v>921</v>
      </c>
      <c r="F141" s="411"/>
      <c r="G141" s="404" t="s">
        <v>989</v>
      </c>
      <c r="H141" s="411"/>
      <c r="I141" s="411"/>
      <c r="J141" s="250">
        <v>0</v>
      </c>
      <c r="K141" s="405"/>
      <c r="L141" s="405"/>
      <c r="M141" s="405"/>
      <c r="N141" s="405"/>
      <c r="O141" s="405"/>
      <c r="P141" s="405"/>
      <c r="Q141" s="405"/>
      <c r="R141" s="405"/>
      <c r="S141" s="405"/>
      <c r="T141" s="405"/>
      <c r="U141" s="405"/>
      <c r="V141" s="405"/>
      <c r="W141" s="407"/>
      <c r="X141" s="407"/>
      <c r="Y141" s="405">
        <f t="shared" si="41"/>
        <v>130152</v>
      </c>
      <c r="Z141" s="405">
        <f t="shared" si="42"/>
        <v>0</v>
      </c>
      <c r="AA141" s="405"/>
      <c r="AB141" s="405">
        <v>130152</v>
      </c>
      <c r="AC141" s="405"/>
      <c r="AD141" s="405"/>
      <c r="AE141" s="411"/>
      <c r="AF141" s="405">
        <v>0</v>
      </c>
      <c r="AG141" s="411"/>
      <c r="AH141" s="451">
        <v>130152</v>
      </c>
      <c r="AI141" s="411"/>
      <c r="AJ141" s="543">
        <f t="shared" si="43"/>
        <v>0</v>
      </c>
      <c r="AK141" s="415"/>
      <c r="AL141" s="417"/>
      <c r="AM141" s="466"/>
      <c r="AN141" s="384"/>
      <c r="AO141" s="406"/>
      <c r="AP141" s="404"/>
      <c r="AQ141" s="250"/>
      <c r="AR141" s="405"/>
      <c r="AS141" s="312">
        <v>130152</v>
      </c>
    </row>
    <row r="142" spans="1:47" ht="18.75" customHeight="1" x14ac:dyDescent="0.2">
      <c r="A142" s="416"/>
      <c r="B142" s="411"/>
      <c r="C142" s="410"/>
      <c r="D142" s="404"/>
      <c r="E142" s="410">
        <v>56601</v>
      </c>
      <c r="F142" s="411"/>
      <c r="G142" s="404" t="s">
        <v>988</v>
      </c>
      <c r="H142" s="411"/>
      <c r="I142" s="411"/>
      <c r="J142" s="250">
        <v>0</v>
      </c>
      <c r="K142" s="405"/>
      <c r="L142" s="405"/>
      <c r="M142" s="405"/>
      <c r="N142" s="405"/>
      <c r="O142" s="405"/>
      <c r="P142" s="405"/>
      <c r="Q142" s="405"/>
      <c r="R142" s="405"/>
      <c r="S142" s="405"/>
      <c r="T142" s="405"/>
      <c r="U142" s="405"/>
      <c r="V142" s="405"/>
      <c r="W142" s="407"/>
      <c r="X142" s="407"/>
      <c r="Y142" s="405">
        <f t="shared" si="41"/>
        <v>32578.560000000001</v>
      </c>
      <c r="Z142" s="405">
        <f t="shared" si="42"/>
        <v>0</v>
      </c>
      <c r="AA142" s="405"/>
      <c r="AB142" s="405">
        <v>32578.560000000001</v>
      </c>
      <c r="AC142" s="405"/>
      <c r="AD142" s="405"/>
      <c r="AE142" s="411"/>
      <c r="AF142" s="405">
        <v>32578.560000000001</v>
      </c>
      <c r="AG142" s="411"/>
      <c r="AH142" s="451">
        <v>32578.560000000001</v>
      </c>
      <c r="AI142" s="411"/>
      <c r="AJ142" s="543">
        <f t="shared" si="43"/>
        <v>0</v>
      </c>
      <c r="AK142" s="415"/>
      <c r="AL142" s="417"/>
      <c r="AM142" s="466"/>
      <c r="AN142" s="384"/>
      <c r="AO142" s="406"/>
      <c r="AP142" s="404"/>
      <c r="AQ142" s="250"/>
      <c r="AR142" s="405"/>
      <c r="AS142" s="312">
        <v>0</v>
      </c>
    </row>
    <row r="143" spans="1:47" ht="18.75" customHeight="1" x14ac:dyDescent="0.2">
      <c r="A143" s="416"/>
      <c r="B143" s="411"/>
      <c r="C143" s="410"/>
      <c r="D143" s="404"/>
      <c r="E143" s="410">
        <v>56701</v>
      </c>
      <c r="F143" s="411"/>
      <c r="G143" s="404" t="s">
        <v>987</v>
      </c>
      <c r="H143" s="411"/>
      <c r="I143" s="411"/>
      <c r="J143" s="250">
        <v>0</v>
      </c>
      <c r="K143" s="405"/>
      <c r="L143" s="405"/>
      <c r="M143" s="405"/>
      <c r="N143" s="405"/>
      <c r="O143" s="405"/>
      <c r="P143" s="405"/>
      <c r="Q143" s="405"/>
      <c r="R143" s="405"/>
      <c r="S143" s="405"/>
      <c r="T143" s="405"/>
      <c r="U143" s="405"/>
      <c r="V143" s="405"/>
      <c r="W143" s="407"/>
      <c r="X143" s="407"/>
      <c r="Y143" s="405">
        <f t="shared" si="41"/>
        <v>52900.06</v>
      </c>
      <c r="Z143" s="405">
        <f t="shared" si="42"/>
        <v>0</v>
      </c>
      <c r="AA143" s="405"/>
      <c r="AB143" s="405">
        <v>52900.06</v>
      </c>
      <c r="AC143" s="405"/>
      <c r="AD143" s="405"/>
      <c r="AE143" s="411"/>
      <c r="AF143" s="405">
        <v>52900.06</v>
      </c>
      <c r="AG143" s="411"/>
      <c r="AH143" s="451">
        <v>52900.06</v>
      </c>
      <c r="AI143" s="411"/>
      <c r="AJ143" s="543">
        <f t="shared" si="43"/>
        <v>0</v>
      </c>
      <c r="AK143" s="415"/>
      <c r="AL143" s="417"/>
      <c r="AM143" s="466"/>
      <c r="AN143" s="384"/>
      <c r="AO143" s="406"/>
      <c r="AP143" s="404"/>
      <c r="AQ143" s="250"/>
      <c r="AR143" s="405"/>
    </row>
    <row r="144" spans="1:47" ht="18.75" customHeight="1" x14ac:dyDescent="0.2">
      <c r="A144" s="416"/>
      <c r="B144" s="411"/>
      <c r="C144" s="410"/>
      <c r="D144" s="404"/>
      <c r="E144" s="410"/>
      <c r="F144" s="411"/>
      <c r="G144" s="404"/>
      <c r="H144" s="411"/>
      <c r="I144" s="411"/>
      <c r="J144" s="250"/>
      <c r="K144" s="405"/>
      <c r="L144" s="405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7"/>
      <c r="X144" s="407"/>
      <c r="Y144" s="405"/>
      <c r="Z144" s="405"/>
      <c r="AA144" s="405"/>
      <c r="AB144" s="405"/>
      <c r="AC144" s="405"/>
      <c r="AD144" s="405"/>
      <c r="AE144" s="411"/>
      <c r="AF144" s="405"/>
      <c r="AG144" s="411"/>
      <c r="AH144" s="405"/>
      <c r="AI144" s="411"/>
      <c r="AJ144" s="543"/>
      <c r="AK144" s="415"/>
      <c r="AL144" s="417"/>
      <c r="AM144" s="466"/>
      <c r="AN144" s="384"/>
      <c r="AO144" s="406"/>
      <c r="AP144" s="404"/>
      <c r="AQ144" s="250"/>
      <c r="AR144" s="405"/>
    </row>
    <row r="145" spans="1:44" ht="18.75" customHeight="1" x14ac:dyDescent="0.25">
      <c r="A145" s="404"/>
      <c r="B145" s="411" t="s">
        <v>104</v>
      </c>
      <c r="C145" s="410"/>
      <c r="D145" s="404"/>
      <c r="E145" s="413"/>
      <c r="F145" s="411"/>
      <c r="G145" s="412"/>
      <c r="H145" s="411"/>
      <c r="I145" s="411"/>
      <c r="J145" s="75">
        <f>SUM(J146:J146)</f>
        <v>0</v>
      </c>
      <c r="K145" s="75"/>
      <c r="L145" s="75">
        <f t="shared" ref="L145:Z145" si="44">SUM(L146:L146)</f>
        <v>0</v>
      </c>
      <c r="M145" s="75">
        <f t="shared" si="44"/>
        <v>0</v>
      </c>
      <c r="N145" s="75">
        <f t="shared" si="44"/>
        <v>0</v>
      </c>
      <c r="O145" s="75">
        <f t="shared" si="44"/>
        <v>0</v>
      </c>
      <c r="P145" s="75">
        <f t="shared" si="44"/>
        <v>0</v>
      </c>
      <c r="Q145" s="75">
        <f t="shared" si="44"/>
        <v>0</v>
      </c>
      <c r="R145" s="75">
        <f t="shared" si="44"/>
        <v>0</v>
      </c>
      <c r="S145" s="75">
        <f t="shared" si="44"/>
        <v>0</v>
      </c>
      <c r="T145" s="75">
        <f t="shared" si="44"/>
        <v>0</v>
      </c>
      <c r="U145" s="75">
        <f t="shared" si="44"/>
        <v>0</v>
      </c>
      <c r="V145" s="75">
        <f t="shared" si="44"/>
        <v>0</v>
      </c>
      <c r="W145" s="75">
        <f t="shared" si="44"/>
        <v>0</v>
      </c>
      <c r="X145" s="75">
        <f t="shared" si="44"/>
        <v>0</v>
      </c>
      <c r="Y145" s="75">
        <f t="shared" si="44"/>
        <v>0</v>
      </c>
      <c r="Z145" s="75">
        <f t="shared" si="44"/>
        <v>0</v>
      </c>
      <c r="AA145" s="75"/>
      <c r="AB145" s="75">
        <f>SUM(AB146:AB146)</f>
        <v>0</v>
      </c>
      <c r="AC145" s="75"/>
      <c r="AD145" s="75">
        <f>SUM(AD146:AD146)</f>
        <v>0</v>
      </c>
      <c r="AE145" s="75"/>
      <c r="AF145" s="450">
        <f>SUM(AF146:AF146)</f>
        <v>0</v>
      </c>
      <c r="AG145" s="75"/>
      <c r="AH145" s="450">
        <f>SUM(AH146:AH146)</f>
        <v>0</v>
      </c>
      <c r="AI145" s="75"/>
      <c r="AJ145" s="545">
        <f>SUM(AJ146:AJ146)</f>
        <v>0</v>
      </c>
      <c r="AK145" s="405"/>
      <c r="AQ145" s="402"/>
      <c r="AR145" s="402"/>
    </row>
    <row r="146" spans="1:44" ht="6" customHeight="1" x14ac:dyDescent="0.25">
      <c r="A146" s="404"/>
      <c r="B146" s="410"/>
      <c r="C146" s="410"/>
      <c r="D146" s="312"/>
      <c r="E146" s="409"/>
      <c r="F146" s="404"/>
      <c r="G146" s="408"/>
      <c r="H146" s="404"/>
      <c r="I146" s="404"/>
      <c r="J146" s="250"/>
      <c r="K146" s="405"/>
      <c r="L146" s="405"/>
      <c r="M146" s="405"/>
      <c r="N146" s="405"/>
      <c r="O146" s="405"/>
      <c r="P146" s="405"/>
      <c r="Q146" s="405"/>
      <c r="R146" s="405"/>
      <c r="S146" s="405"/>
      <c r="T146" s="405"/>
      <c r="U146" s="405"/>
      <c r="V146" s="405"/>
      <c r="W146" s="407"/>
      <c r="X146" s="407"/>
      <c r="Y146" s="405"/>
      <c r="Z146" s="405"/>
      <c r="AA146" s="405"/>
      <c r="AB146" s="405"/>
      <c r="AC146" s="405"/>
      <c r="AD146" s="405"/>
      <c r="AE146" s="405"/>
      <c r="AF146" s="405"/>
      <c r="AG146" s="405"/>
      <c r="AH146" s="405"/>
      <c r="AI146" s="405"/>
      <c r="AJ146" s="543"/>
      <c r="AK146" s="405"/>
      <c r="AQ146" s="402"/>
      <c r="AR146" s="402"/>
    </row>
    <row r="147" spans="1:44" ht="15.75" customHeight="1" x14ac:dyDescent="0.25">
      <c r="A147" s="404"/>
      <c r="B147" s="410"/>
      <c r="C147" s="410"/>
      <c r="E147" s="409"/>
      <c r="F147" s="404"/>
      <c r="G147" s="408"/>
      <c r="H147" s="404"/>
      <c r="I147" s="404"/>
      <c r="J147" s="250"/>
      <c r="K147" s="405"/>
      <c r="L147" s="405"/>
      <c r="M147" s="405"/>
      <c r="N147" s="405"/>
      <c r="O147" s="405"/>
      <c r="P147" s="405"/>
      <c r="Q147" s="405"/>
      <c r="R147" s="405"/>
      <c r="S147" s="405"/>
      <c r="T147" s="405"/>
      <c r="U147" s="405"/>
      <c r="V147" s="405"/>
      <c r="W147" s="407"/>
      <c r="X147" s="407"/>
      <c r="Y147" s="405"/>
      <c r="Z147" s="405"/>
      <c r="AA147" s="405"/>
      <c r="AB147" s="405"/>
      <c r="AC147" s="405"/>
      <c r="AD147" s="405"/>
      <c r="AE147" s="405"/>
      <c r="AF147" s="405"/>
      <c r="AG147" s="405"/>
      <c r="AH147" s="405"/>
      <c r="AI147" s="405"/>
      <c r="AJ147" s="543"/>
      <c r="AK147" s="405"/>
      <c r="AQ147" s="402"/>
      <c r="AR147" s="402"/>
    </row>
    <row r="148" spans="1:44" ht="15.75" customHeight="1" x14ac:dyDescent="0.25">
      <c r="A148" s="324"/>
      <c r="B148" s="324"/>
      <c r="C148" s="324"/>
      <c r="D148" s="324" t="s">
        <v>986</v>
      </c>
      <c r="E148" s="667" t="s">
        <v>82</v>
      </c>
      <c r="F148" s="667"/>
      <c r="G148" s="667"/>
      <c r="H148" s="667"/>
      <c r="I148" s="324"/>
      <c r="J148" s="568">
        <f>+J14+J47+J85+J125+J131+J145</f>
        <v>5008517907.2400007</v>
      </c>
      <c r="K148" s="325"/>
      <c r="L148" s="403">
        <f>+L14+L47+L85+L125+L131</f>
        <v>0</v>
      </c>
      <c r="M148" s="403">
        <f>+M14+M47+M85+M125+M131</f>
        <v>0</v>
      </c>
      <c r="N148" s="403">
        <f>+N14+N47+N85+N125+N131</f>
        <v>0</v>
      </c>
      <c r="O148" s="403">
        <f>+O14+O47+O85+O125+O131</f>
        <v>0</v>
      </c>
      <c r="P148" s="403">
        <f>+P14+P47+P85+P125+P131</f>
        <v>0</v>
      </c>
      <c r="Q148" s="403" t="e">
        <f>+Q14+Q47+Q85+Q125+Q131+Q145+#REF!</f>
        <v>#REF!</v>
      </c>
      <c r="R148" s="403" t="e">
        <f>+R14+R47+R85+R125+R131+R145+#REF!</f>
        <v>#REF!</v>
      </c>
      <c r="S148" s="403" t="e">
        <f>+S14+S47+S85+S125+S131+S145+#REF!</f>
        <v>#REF!</v>
      </c>
      <c r="T148" s="403" t="e">
        <f>+T14+T47+T85+T125+T131+T145+#REF!</f>
        <v>#REF!</v>
      </c>
      <c r="U148" s="403" t="e">
        <f>+U14+U47+U85+U125+U131+U145+#REF!</f>
        <v>#REF!</v>
      </c>
      <c r="V148" s="403" t="e">
        <f>+V14+V47+V85+V125+V131+V145+#REF!</f>
        <v>#REF!</v>
      </c>
      <c r="W148" s="403" t="e">
        <f>+W14+W47+W85+W125+W131+W145+#REF!</f>
        <v>#REF!</v>
      </c>
      <c r="X148" s="403" t="e">
        <f>+X14+X47+X85+X125+X131+X145+#REF!</f>
        <v>#REF!</v>
      </c>
      <c r="Y148" s="568">
        <f>+Y14+Y47+Y85+Y125+Y131+Y145</f>
        <v>2095733159.1600001</v>
      </c>
      <c r="Z148" s="568">
        <f>+Z14+Z47+Z85+Z125+Z131+Z145</f>
        <v>1453909562.6900003</v>
      </c>
      <c r="AA148" s="401"/>
      <c r="AB148" s="568">
        <f>+AB14+AB47+AB85+AB125+AB131+AB145</f>
        <v>5650341503.7099991</v>
      </c>
      <c r="AC148" s="401"/>
      <c r="AD148" s="568">
        <f>+AD14+AD47+AD85+AD125+AD131+AD145</f>
        <v>0</v>
      </c>
      <c r="AE148" s="401"/>
      <c r="AF148" s="568">
        <f>+AF14+AF47+AF85+AF125+AF131+AF145</f>
        <v>3031420284.9499993</v>
      </c>
      <c r="AG148" s="401"/>
      <c r="AH148" s="568">
        <f>+AH14+AH47+AH85+AH125+AH131+AH145</f>
        <v>5517949932.1800003</v>
      </c>
      <c r="AI148" s="401"/>
      <c r="AJ148" s="576">
        <f>+AJ14+AJ47+AJ85+AJ125+AJ131+AJ145</f>
        <v>132378029.54000001</v>
      </c>
      <c r="AK148" s="401"/>
      <c r="AQ148" s="401"/>
    </row>
    <row r="149" spans="1:44" ht="15.75" customHeight="1" x14ac:dyDescent="0.25">
      <c r="H149" s="398"/>
      <c r="J149" s="397"/>
      <c r="Y149" s="393"/>
      <c r="AB149" s="378"/>
      <c r="AF149" s="401"/>
      <c r="AH149" s="311"/>
      <c r="AJ149" s="546"/>
      <c r="AO149" s="312"/>
    </row>
    <row r="150" spans="1:44" ht="48.75" customHeight="1" x14ac:dyDescent="0.25">
      <c r="H150" s="398"/>
      <c r="J150" s="397"/>
      <c r="Y150" s="575"/>
      <c r="Z150" s="575"/>
      <c r="AB150" s="378"/>
      <c r="AF150" s="381">
        <f>+AF148-AF131</f>
        <v>3030313905.9999995</v>
      </c>
      <c r="AG150" s="381"/>
      <c r="AH150" s="381">
        <f t="shared" ref="AH150" si="45">+AH148-AH131</f>
        <v>5516196238.2300005</v>
      </c>
    </row>
    <row r="151" spans="1:44" ht="15.75" customHeight="1" x14ac:dyDescent="0.2">
      <c r="Y151" s="393"/>
      <c r="AB151" s="548"/>
      <c r="AF151" s="381">
        <v>3030313906</v>
      </c>
      <c r="AH151" s="446">
        <v>5516196238</v>
      </c>
    </row>
    <row r="152" spans="1:44" ht="15.75" customHeight="1" x14ac:dyDescent="0.25">
      <c r="B152" s="312"/>
      <c r="C152" s="312"/>
      <c r="D152" s="312"/>
      <c r="E152" s="312"/>
      <c r="F152" s="312"/>
      <c r="H152" s="396"/>
      <c r="J152" s="395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574"/>
      <c r="AB152" s="573"/>
      <c r="AE152" s="312"/>
      <c r="AF152" s="548">
        <f>+AF150-AF151</f>
        <v>0</v>
      </c>
      <c r="AG152" s="312"/>
      <c r="AH152" s="548">
        <f>+AH150-AH151</f>
        <v>0.23000049591064453</v>
      </c>
      <c r="AI152" s="312"/>
    </row>
    <row r="153" spans="1:44" ht="15.75" customHeight="1" x14ac:dyDescent="0.2">
      <c r="AF153" s="381"/>
      <c r="AH153" s="446"/>
    </row>
    <row r="154" spans="1:44" ht="15.75" customHeight="1" x14ac:dyDescent="0.2">
      <c r="AF154" s="381"/>
      <c r="AH154" s="446"/>
    </row>
    <row r="155" spans="1:44" ht="15.75" customHeight="1" x14ac:dyDescent="0.2">
      <c r="AF155" s="381"/>
      <c r="AH155" s="446"/>
    </row>
    <row r="156" spans="1:44" ht="15.75" customHeight="1" x14ac:dyDescent="0.2">
      <c r="AF156" s="381"/>
      <c r="AH156" s="446"/>
    </row>
    <row r="157" spans="1:44" ht="15.75" customHeight="1" x14ac:dyDescent="0.25">
      <c r="AF157" s="572"/>
      <c r="AH157" s="571"/>
    </row>
    <row r="158" spans="1:44" ht="15.75" customHeight="1" x14ac:dyDescent="0.2">
      <c r="AF158" s="381"/>
    </row>
    <row r="159" spans="1:44" ht="15.75" customHeight="1" x14ac:dyDescent="0.2">
      <c r="AF159" s="381"/>
    </row>
    <row r="160" spans="1:44" ht="15.75" customHeight="1" x14ac:dyDescent="0.2">
      <c r="AF160" s="381"/>
    </row>
    <row r="161" spans="32:34" ht="15.75" customHeight="1" x14ac:dyDescent="0.2">
      <c r="AF161" s="381"/>
      <c r="AH161" s="446"/>
    </row>
    <row r="162" spans="32:34" ht="15.75" customHeight="1" x14ac:dyDescent="0.25">
      <c r="AF162" s="572"/>
      <c r="AH162" s="571"/>
    </row>
  </sheetData>
  <mergeCells count="28">
    <mergeCell ref="E148:H148"/>
    <mergeCell ref="AB10:AB11"/>
    <mergeCell ref="AD10:AD11"/>
    <mergeCell ref="AF10:AF11"/>
    <mergeCell ref="M10:M11"/>
    <mergeCell ref="N10:N11"/>
    <mergeCell ref="O10:O11"/>
    <mergeCell ref="P10:P11"/>
    <mergeCell ref="Q10:Q11"/>
    <mergeCell ref="R10:R11"/>
    <mergeCell ref="AJ10:AJ11"/>
    <mergeCell ref="W11:X11"/>
    <mergeCell ref="S10:S11"/>
    <mergeCell ref="T10:T11"/>
    <mergeCell ref="U10:U11"/>
    <mergeCell ref="V10:V11"/>
    <mergeCell ref="W10:X10"/>
    <mergeCell ref="Y10:Z10"/>
    <mergeCell ref="B10:B12"/>
    <mergeCell ref="E10:E12"/>
    <mergeCell ref="G10:H12"/>
    <mergeCell ref="J10:J11"/>
    <mergeCell ref="L10:L11"/>
    <mergeCell ref="A2:AK2"/>
    <mergeCell ref="A3:AK3"/>
    <mergeCell ref="A4:AA4"/>
    <mergeCell ref="A6:AK6"/>
    <mergeCell ref="A7:AK7"/>
  </mergeCells>
  <printOptions horizontalCentered="1"/>
  <pageMargins left="0.19685039370078741" right="0.19685039370078741" top="0.59055118110236227" bottom="0.39370078740157483" header="0" footer="0"/>
  <pageSetup scale="52" fitToHeight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18"/>
  <sheetViews>
    <sheetView topLeftCell="C1" zoomScale="80" zoomScaleNormal="80" zoomScaleSheetLayoutView="70" workbookViewId="0">
      <selection activeCell="O13" sqref="O1:R1048576"/>
    </sheetView>
  </sheetViews>
  <sheetFormatPr baseColWidth="10" defaultRowHeight="15.75" customHeight="1" x14ac:dyDescent="0.2"/>
  <cols>
    <col min="1" max="1" width="5.140625" style="65" customWidth="1"/>
    <col min="2" max="2" width="14.28515625" style="65" customWidth="1"/>
    <col min="3" max="3" width="45.140625" style="65" customWidth="1"/>
    <col min="4" max="5" width="15" style="65" customWidth="1"/>
    <col min="6" max="6" width="15.85546875" style="65" bestFit="1" customWidth="1"/>
    <col min="7" max="7" width="5.140625" style="65" customWidth="1"/>
    <col min="8" max="9" width="7" style="65" customWidth="1"/>
    <col min="10" max="10" width="45.140625" style="65" customWidth="1"/>
    <col min="11" max="12" width="15" style="65" customWidth="1"/>
    <col min="13" max="13" width="15.85546875" style="65" bestFit="1" customWidth="1"/>
    <col min="14" max="14" width="5.140625" style="65" customWidth="1"/>
    <col min="15" max="16384" width="11.42578125" style="65"/>
  </cols>
  <sheetData>
    <row r="1" spans="1:14" ht="15" customHeight="1" x14ac:dyDescent="0.2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</row>
    <row r="2" spans="1:14" ht="25.5" customHeight="1" x14ac:dyDescent="0.2">
      <c r="A2" s="626" t="s">
        <v>7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</row>
    <row r="3" spans="1:14" ht="25.5" customHeight="1" x14ac:dyDescent="0.2">
      <c r="A3" s="627" t="s">
        <v>106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</row>
    <row r="4" spans="1:14" ht="15" customHeight="1" x14ac:dyDescent="0.2">
      <c r="A4" s="628"/>
      <c r="B4" s="628"/>
      <c r="C4" s="628"/>
      <c r="D4" s="628"/>
      <c r="E4" s="628"/>
      <c r="F4" s="628"/>
      <c r="G4" s="628"/>
      <c r="H4" s="628"/>
      <c r="I4" s="628"/>
      <c r="J4" s="628"/>
      <c r="K4" s="628"/>
      <c r="L4" s="628"/>
      <c r="M4" s="628"/>
      <c r="N4" s="66"/>
    </row>
    <row r="5" spans="1:14" ht="15" customHeight="1" x14ac:dyDescent="0.2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</row>
    <row r="6" spans="1:14" ht="15" customHeight="1" x14ac:dyDescent="0.2">
      <c r="A6" s="68"/>
      <c r="B6" s="69" t="s">
        <v>16</v>
      </c>
      <c r="C6" s="69"/>
      <c r="D6" s="69"/>
      <c r="E6" s="69"/>
      <c r="F6" s="70"/>
      <c r="G6" s="70"/>
      <c r="H6" s="70"/>
      <c r="I6" s="70"/>
      <c r="J6" s="70"/>
      <c r="K6" s="70"/>
      <c r="L6" s="70"/>
      <c r="M6" s="70"/>
      <c r="N6" s="68"/>
    </row>
    <row r="7" spans="1:14" ht="15" customHeight="1" x14ac:dyDescent="0.2">
      <c r="A7" s="68"/>
      <c r="B7" s="69" t="s">
        <v>965</v>
      </c>
      <c r="C7" s="69"/>
      <c r="D7" s="69"/>
      <c r="E7" s="69"/>
      <c r="F7" s="70"/>
      <c r="G7" s="70"/>
      <c r="H7" s="70"/>
      <c r="I7" s="70"/>
      <c r="J7" s="70"/>
      <c r="K7" s="70"/>
      <c r="L7" s="70"/>
      <c r="M7" s="70"/>
      <c r="N7" s="68"/>
    </row>
    <row r="8" spans="1:14" ht="15" customHeight="1" x14ac:dyDescent="0.2">
      <c r="A8" s="68"/>
      <c r="B8" s="69" t="s">
        <v>8</v>
      </c>
      <c r="C8" s="69"/>
      <c r="D8" s="69"/>
      <c r="E8" s="69"/>
      <c r="F8" s="70"/>
      <c r="G8" s="70"/>
      <c r="H8" s="70"/>
      <c r="I8" s="70"/>
      <c r="J8" s="70"/>
      <c r="K8" s="70"/>
      <c r="L8" s="70"/>
      <c r="M8" s="70"/>
      <c r="N8" s="68"/>
    </row>
    <row r="9" spans="1:14" ht="15" customHeight="1" x14ac:dyDescent="0.2">
      <c r="A9" s="68"/>
      <c r="B9" s="69"/>
      <c r="C9" s="69"/>
      <c r="D9" s="69"/>
      <c r="E9" s="69"/>
      <c r="F9" s="70"/>
      <c r="G9" s="70"/>
      <c r="H9" s="70"/>
      <c r="I9" s="70"/>
      <c r="J9" s="70"/>
      <c r="K9" s="70"/>
      <c r="L9" s="70"/>
      <c r="M9" s="70"/>
      <c r="N9" s="68"/>
    </row>
    <row r="10" spans="1:14" ht="15" customHeight="1" x14ac:dyDescent="0.2">
      <c r="A10" s="68"/>
      <c r="B10" s="69"/>
      <c r="C10" s="69"/>
      <c r="D10" s="69"/>
      <c r="E10" s="69"/>
      <c r="F10" s="70"/>
      <c r="G10" s="70"/>
      <c r="H10" s="70"/>
      <c r="I10" s="70"/>
      <c r="J10" s="70"/>
      <c r="K10" s="70"/>
      <c r="L10" s="70"/>
      <c r="M10" s="70"/>
      <c r="N10" s="68"/>
    </row>
    <row r="11" spans="1:14" s="72" customFormat="1" ht="15" customHeight="1" x14ac:dyDescent="0.25">
      <c r="A11" s="71"/>
      <c r="B11" s="629" t="s">
        <v>17</v>
      </c>
      <c r="C11" s="629"/>
      <c r="D11" s="629"/>
      <c r="E11" s="629"/>
      <c r="F11" s="629"/>
      <c r="G11" s="38"/>
      <c r="H11" s="629" t="s">
        <v>18</v>
      </c>
      <c r="I11" s="629"/>
      <c r="J11" s="629"/>
      <c r="K11" s="629"/>
      <c r="L11" s="629"/>
      <c r="M11" s="629"/>
    </row>
    <row r="12" spans="1:14" s="72" customFormat="1" ht="15" customHeight="1" x14ac:dyDescent="0.25">
      <c r="A12" s="71"/>
      <c r="B12" s="629"/>
      <c r="C12" s="629"/>
      <c r="D12" s="629"/>
      <c r="E12" s="629"/>
      <c r="F12" s="629"/>
      <c r="G12" s="38"/>
      <c r="H12" s="629"/>
      <c r="I12" s="629"/>
      <c r="J12" s="629"/>
      <c r="K12" s="629"/>
      <c r="L12" s="629"/>
      <c r="M12" s="629"/>
    </row>
    <row r="13" spans="1:14" s="72" customFormat="1" ht="15" customHeight="1" x14ac:dyDescent="0.2">
      <c r="A13" s="71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</row>
    <row r="14" spans="1:14" s="72" customFormat="1" ht="15" customHeight="1" x14ac:dyDescent="0.2">
      <c r="A14" s="71"/>
      <c r="B14" s="122" t="s">
        <v>38</v>
      </c>
      <c r="C14" s="122"/>
      <c r="D14" s="122"/>
      <c r="E14" s="123"/>
      <c r="F14" s="120">
        <f>SUM(E16)</f>
        <v>183047603</v>
      </c>
      <c r="G14" s="29"/>
      <c r="H14" s="122" t="s">
        <v>34</v>
      </c>
      <c r="I14" s="122"/>
      <c r="J14" s="122"/>
      <c r="K14" s="120"/>
      <c r="L14" s="123"/>
      <c r="M14" s="120">
        <f>+SUM(L16:L17)</f>
        <v>2966968168</v>
      </c>
    </row>
    <row r="15" spans="1:14" s="72" customFormat="1" ht="15" customHeight="1" x14ac:dyDescent="0.2">
      <c r="A15" s="71"/>
      <c r="B15" s="106"/>
      <c r="C15" s="106"/>
      <c r="D15" s="106"/>
      <c r="E15" s="126"/>
      <c r="F15" s="126"/>
      <c r="G15" s="29"/>
      <c r="H15" s="124"/>
      <c r="I15" s="124"/>
      <c r="J15" s="124"/>
      <c r="K15" s="123"/>
      <c r="L15" s="123"/>
      <c r="M15" s="123"/>
    </row>
    <row r="16" spans="1:14" s="72" customFormat="1" ht="15" customHeight="1" x14ac:dyDescent="0.2">
      <c r="A16" s="71"/>
      <c r="B16" s="57"/>
      <c r="C16" s="56" t="s">
        <v>2</v>
      </c>
      <c r="D16" s="56"/>
      <c r="E16" s="356">
        <f>+'EDO ING Y EGR'!I16</f>
        <v>183047603</v>
      </c>
      <c r="F16" s="123"/>
      <c r="G16" s="29"/>
      <c r="I16" s="57" t="s">
        <v>41</v>
      </c>
      <c r="L16" s="54">
        <f>+'EDO ING Y EGR'!I38</f>
        <v>2880820804</v>
      </c>
    </row>
    <row r="17" spans="1:13" s="72" customFormat="1" ht="15" customHeight="1" x14ac:dyDescent="0.2">
      <c r="A17" s="71"/>
      <c r="B17" s="57"/>
      <c r="C17" s="57"/>
      <c r="D17" s="57"/>
      <c r="E17" s="54"/>
      <c r="F17" s="123"/>
      <c r="G17" s="29"/>
      <c r="H17" s="57"/>
      <c r="I17" s="57" t="s">
        <v>40</v>
      </c>
      <c r="J17" s="56"/>
      <c r="K17" s="59"/>
      <c r="L17" s="356">
        <f>+K19+K20</f>
        <v>86147364</v>
      </c>
      <c r="M17" s="119"/>
    </row>
    <row r="18" spans="1:13" s="72" customFormat="1" ht="15" customHeight="1" x14ac:dyDescent="0.2">
      <c r="A18" s="71"/>
      <c r="B18" s="122" t="s">
        <v>37</v>
      </c>
      <c r="C18" s="122"/>
      <c r="D18" s="122"/>
      <c r="E18" s="123"/>
      <c r="F18" s="120">
        <f>SUM(E20:E21)</f>
        <v>2824149680</v>
      </c>
      <c r="G18" s="29"/>
      <c r="H18" s="57"/>
      <c r="I18" s="57"/>
      <c r="J18" s="56"/>
      <c r="K18" s="59"/>
      <c r="L18" s="54"/>
      <c r="M18" s="119"/>
    </row>
    <row r="19" spans="1:13" s="72" customFormat="1" ht="15" customHeight="1" x14ac:dyDescent="0.2">
      <c r="A19" s="71"/>
      <c r="B19" s="122"/>
      <c r="C19" s="122"/>
      <c r="D19" s="122"/>
      <c r="E19" s="123"/>
      <c r="F19" s="123"/>
      <c r="G19" s="29"/>
      <c r="H19" s="57"/>
      <c r="I19" s="29"/>
      <c r="J19" s="57" t="s">
        <v>19</v>
      </c>
      <c r="K19" s="54">
        <f>+'EDO ING Y EGR'!H41</f>
        <v>26834599</v>
      </c>
      <c r="L19" s="54"/>
      <c r="M19" s="119"/>
    </row>
    <row r="20" spans="1:13" s="72" customFormat="1" ht="15" customHeight="1" x14ac:dyDescent="0.2">
      <c r="A20" s="71"/>
      <c r="B20" s="122"/>
      <c r="C20" s="56" t="s">
        <v>36</v>
      </c>
      <c r="D20" s="56"/>
      <c r="E20" s="54">
        <f>+'EDO ING Y EGR'!I20</f>
        <v>2241111</v>
      </c>
      <c r="F20" s="123"/>
      <c r="G20" s="29"/>
      <c r="H20" s="124" t="s">
        <v>4</v>
      </c>
      <c r="I20" s="29"/>
      <c r="J20" s="58" t="s">
        <v>20</v>
      </c>
      <c r="K20" s="356">
        <f>+'EDO ING Y EGR'!H42</f>
        <v>59312765</v>
      </c>
      <c r="L20" s="59"/>
      <c r="M20" s="119"/>
    </row>
    <row r="21" spans="1:13" s="72" customFormat="1" ht="15" customHeight="1" x14ac:dyDescent="0.2">
      <c r="A21" s="71"/>
      <c r="B21" s="122"/>
      <c r="C21" s="301" t="s">
        <v>3</v>
      </c>
      <c r="D21" s="56"/>
      <c r="E21" s="356">
        <f>+'EDO ING Y EGR'!I21</f>
        <v>2821908569</v>
      </c>
      <c r="F21" s="123"/>
      <c r="G21" s="29"/>
      <c r="H21" s="124"/>
      <c r="I21" s="29"/>
      <c r="J21" s="58"/>
      <c r="K21" s="54"/>
      <c r="L21" s="59"/>
      <c r="M21" s="119"/>
    </row>
    <row r="22" spans="1:13" s="72" customFormat="1" ht="15" customHeight="1" x14ac:dyDescent="0.2">
      <c r="A22" s="71"/>
      <c r="B22" s="122"/>
      <c r="C22" s="122"/>
      <c r="D22" s="122"/>
      <c r="E22" s="125" t="s">
        <v>4</v>
      </c>
      <c r="F22" s="123"/>
      <c r="G22" s="29"/>
      <c r="H22" s="122" t="s">
        <v>31</v>
      </c>
      <c r="I22" s="57"/>
      <c r="J22" s="122"/>
      <c r="K22" s="59"/>
      <c r="L22" s="54"/>
      <c r="M22" s="121">
        <f>+'EDO ING Y EGR'!J44</f>
        <v>63345738</v>
      </c>
    </row>
    <row r="23" spans="1:13" s="72" customFormat="1" ht="15" customHeight="1" x14ac:dyDescent="0.2">
      <c r="A23" s="71"/>
      <c r="B23" s="122" t="s">
        <v>35</v>
      </c>
      <c r="C23" s="122"/>
      <c r="D23" s="122"/>
      <c r="E23" s="123"/>
      <c r="F23" s="120">
        <f>SUM(E25:E30)</f>
        <v>7347889</v>
      </c>
      <c r="G23" s="29"/>
      <c r="H23" s="122"/>
      <c r="I23" s="57"/>
      <c r="J23" s="122"/>
      <c r="K23" s="59"/>
      <c r="L23" s="59"/>
      <c r="M23" s="119"/>
    </row>
    <row r="24" spans="1:13" s="72" customFormat="1" ht="15" customHeight="1" x14ac:dyDescent="0.2">
      <c r="A24" s="71"/>
      <c r="B24" s="122"/>
      <c r="C24" s="122"/>
      <c r="D24" s="122"/>
      <c r="E24" s="123"/>
      <c r="F24" s="123"/>
      <c r="G24" s="29"/>
      <c r="H24" s="122" t="s">
        <v>30</v>
      </c>
      <c r="I24" s="57"/>
      <c r="J24" s="58"/>
      <c r="K24" s="54"/>
      <c r="L24" s="54"/>
      <c r="M24" s="121">
        <f>+L26+L27</f>
        <v>0</v>
      </c>
    </row>
    <row r="25" spans="1:13" s="72" customFormat="1" ht="15" customHeight="1" x14ac:dyDescent="0.2">
      <c r="A25" s="71"/>
      <c r="B25" s="57"/>
      <c r="C25" s="56" t="s">
        <v>9</v>
      </c>
      <c r="D25" s="255"/>
      <c r="E25" s="54">
        <f>+'EDO ING Y EGR'!I25</f>
        <v>0</v>
      </c>
      <c r="F25" s="123" t="s">
        <v>4</v>
      </c>
      <c r="G25" s="29"/>
      <c r="H25" s="57"/>
      <c r="I25" s="57"/>
      <c r="J25" s="58"/>
      <c r="K25" s="54"/>
      <c r="L25" s="54"/>
      <c r="M25" s="119"/>
    </row>
    <row r="26" spans="1:13" s="72" customFormat="1" ht="15" customHeight="1" x14ac:dyDescent="0.2">
      <c r="A26" s="71"/>
      <c r="B26" s="57"/>
      <c r="C26" s="301" t="s">
        <v>4</v>
      </c>
      <c r="D26" s="255"/>
      <c r="E26" s="54">
        <f>+'EDO ING Y EGR'!I26</f>
        <v>127022</v>
      </c>
      <c r="F26" s="123"/>
      <c r="G26" s="29"/>
      <c r="H26" s="57"/>
      <c r="I26" s="57" t="s">
        <v>29</v>
      </c>
      <c r="J26" s="58"/>
      <c r="K26" s="57"/>
      <c r="L26" s="54">
        <f>+'EDO ING Y EGR'!I48</f>
        <v>0</v>
      </c>
      <c r="M26" s="57"/>
    </row>
    <row r="27" spans="1:13" s="72" customFormat="1" ht="15" customHeight="1" x14ac:dyDescent="0.2">
      <c r="A27" s="71"/>
      <c r="B27" s="57"/>
      <c r="C27" s="157" t="s">
        <v>638</v>
      </c>
      <c r="D27" s="183">
        <v>0</v>
      </c>
      <c r="F27" s="120"/>
      <c r="G27" s="29"/>
      <c r="H27" s="57"/>
      <c r="I27" s="57" t="s">
        <v>28</v>
      </c>
      <c r="J27" s="58"/>
      <c r="K27" s="57"/>
      <c r="L27" s="356">
        <f>+'EDO ING Y EGR'!I49</f>
        <v>0</v>
      </c>
      <c r="M27" s="57"/>
    </row>
    <row r="28" spans="1:13" s="72" customFormat="1" ht="15" customHeight="1" x14ac:dyDescent="0.2">
      <c r="A28" s="71"/>
      <c r="B28" s="31"/>
      <c r="C28" s="27" t="s">
        <v>639</v>
      </c>
      <c r="D28" s="183">
        <v>0</v>
      </c>
      <c r="E28" s="76"/>
      <c r="F28" s="75"/>
      <c r="G28" s="29"/>
    </row>
    <row r="29" spans="1:13" s="72" customFormat="1" ht="15" customHeight="1" x14ac:dyDescent="0.2">
      <c r="A29" s="71"/>
      <c r="B29" s="31"/>
      <c r="C29" s="27" t="s">
        <v>640</v>
      </c>
      <c r="D29" s="357">
        <v>0</v>
      </c>
      <c r="E29" s="76"/>
      <c r="F29" s="75"/>
      <c r="G29" s="29"/>
    </row>
    <row r="30" spans="1:13" s="72" customFormat="1" ht="15" customHeight="1" x14ac:dyDescent="0.2">
      <c r="A30" s="71"/>
      <c r="B30" s="31"/>
      <c r="C30" s="56" t="s">
        <v>11</v>
      </c>
      <c r="D30" s="253"/>
      <c r="E30" s="356">
        <f>+'EDO ING Y EGR'!I30</f>
        <v>7220867</v>
      </c>
      <c r="F30" s="75"/>
      <c r="G30" s="29"/>
      <c r="H30" s="28"/>
      <c r="I30" s="28"/>
      <c r="J30" s="28"/>
      <c r="K30" s="79"/>
      <c r="L30" s="79"/>
      <c r="M30" s="82"/>
    </row>
    <row r="31" spans="1:13" s="72" customFormat="1" ht="15" customHeight="1" x14ac:dyDescent="0.2">
      <c r="A31" s="71"/>
      <c r="B31" s="31"/>
      <c r="C31" s="27"/>
      <c r="D31" s="27"/>
      <c r="E31" s="76"/>
      <c r="F31" s="75"/>
      <c r="G31" s="29"/>
      <c r="H31" s="28"/>
      <c r="I31" s="28"/>
      <c r="J31" s="30"/>
      <c r="K31" s="118"/>
      <c r="L31" s="79"/>
      <c r="M31" s="82"/>
    </row>
    <row r="32" spans="1:13" s="72" customFormat="1" ht="15" customHeight="1" x14ac:dyDescent="0.25">
      <c r="A32" s="71"/>
      <c r="B32" s="625" t="s">
        <v>23</v>
      </c>
      <c r="C32" s="625"/>
      <c r="D32" s="342"/>
      <c r="E32" s="117"/>
      <c r="F32" s="343">
        <f>+SUM(F14:F31)</f>
        <v>3014545172</v>
      </c>
      <c r="G32" s="29"/>
      <c r="H32" s="625" t="s">
        <v>21</v>
      </c>
      <c r="I32" s="625"/>
      <c r="J32" s="625"/>
      <c r="K32" s="625"/>
      <c r="L32" s="19"/>
      <c r="M32" s="343">
        <f>+SUM(M14:M31)</f>
        <v>3030313906</v>
      </c>
    </row>
    <row r="33" spans="1:14" s="72" customFormat="1" ht="15" customHeight="1" x14ac:dyDescent="0.2">
      <c r="A33" s="71"/>
      <c r="B33" s="27"/>
      <c r="C33" s="27"/>
      <c r="D33" s="27"/>
      <c r="E33" s="79"/>
      <c r="F33" s="27"/>
      <c r="G33" s="29"/>
      <c r="H33" s="27"/>
      <c r="I33" s="28"/>
      <c r="J33" s="78"/>
      <c r="K33" s="79"/>
      <c r="L33" s="79"/>
      <c r="M33" s="80"/>
    </row>
    <row r="34" spans="1:14" s="72" customFormat="1" ht="15" customHeight="1" x14ac:dyDescent="0.2">
      <c r="A34" s="71"/>
      <c r="B34" s="83" t="s">
        <v>24</v>
      </c>
      <c r="C34" s="27"/>
      <c r="D34" s="27"/>
      <c r="E34" s="79"/>
      <c r="F34" s="75">
        <f>SUM(E34:E46)</f>
        <v>1720241</v>
      </c>
      <c r="G34" s="29"/>
      <c r="H34" s="81" t="s">
        <v>22</v>
      </c>
      <c r="I34" s="78"/>
      <c r="J34" s="78"/>
      <c r="K34" s="78"/>
      <c r="L34" s="29"/>
      <c r="M34" s="75">
        <f>SUM(L34:L46)</f>
        <v>389785959</v>
      </c>
    </row>
    <row r="35" spans="1:14" s="72" customFormat="1" ht="15" customHeight="1" x14ac:dyDescent="0.2">
      <c r="A35" s="71"/>
      <c r="B35" s="83"/>
      <c r="C35" s="27"/>
      <c r="D35" s="27"/>
      <c r="E35" s="79"/>
      <c r="F35" s="75"/>
      <c r="G35" s="29"/>
      <c r="H35" s="81"/>
      <c r="M35" s="75"/>
    </row>
    <row r="36" spans="1:14" s="72" customFormat="1" ht="15" customHeight="1" x14ac:dyDescent="0.2">
      <c r="A36" s="71"/>
      <c r="C36" s="8" t="str">
        <f>+'BZA DE COMP'!C19</f>
        <v>DEUDORES DIVERSOS</v>
      </c>
      <c r="E36" s="356">
        <f>-'BZA DE COMP'!H19+'BZA DE COMP'!D19</f>
        <v>1720241</v>
      </c>
      <c r="F36" s="472"/>
      <c r="G36" s="472"/>
      <c r="H36" s="472"/>
      <c r="I36" s="31" t="str">
        <f>+'BZA DE COMP'!C40</f>
        <v>ACREEDORES DIVERSOS</v>
      </c>
      <c r="L36" s="54">
        <f>-'BZA DE COMP'!H40+'BZA DE COMP'!D40</f>
        <v>130037158</v>
      </c>
      <c r="M36" s="473"/>
      <c r="N36" s="472"/>
    </row>
    <row r="37" spans="1:14" s="72" customFormat="1" ht="15" customHeight="1" x14ac:dyDescent="0.2">
      <c r="A37" s="71"/>
      <c r="F37" s="472"/>
      <c r="G37" s="472"/>
      <c r="H37" s="472"/>
      <c r="I37" s="71" t="str">
        <f>+'BZA DE COMP'!C41</f>
        <v>FONDOS AJENOS</v>
      </c>
      <c r="L37" s="54">
        <f>-'BZA DE COMP'!H41+'BZA DE COMP'!D41</f>
        <v>65174309</v>
      </c>
      <c r="M37" s="473"/>
      <c r="N37" s="472"/>
    </row>
    <row r="38" spans="1:14" s="72" customFormat="1" ht="15" customHeight="1" x14ac:dyDescent="0.2">
      <c r="A38" s="71"/>
      <c r="B38" s="31"/>
      <c r="G38" s="8"/>
      <c r="H38" s="28"/>
      <c r="I38" s="71" t="str">
        <f>+'BZA DE COMP'!C42</f>
        <v>IMPUESTOS POR PAGAR</v>
      </c>
      <c r="L38" s="54">
        <f>-'BZA DE COMP'!H42+'BZA DE COMP'!D42</f>
        <v>11767743</v>
      </c>
      <c r="M38" s="473"/>
      <c r="N38" s="472"/>
    </row>
    <row r="39" spans="1:14" s="72" customFormat="1" ht="15" customHeight="1" x14ac:dyDescent="0.2">
      <c r="A39" s="71"/>
      <c r="G39" s="8"/>
      <c r="H39" s="472"/>
      <c r="I39" s="71" t="str">
        <f>+'BZA DE COMP'!C43</f>
        <v>PRESTACIONES DIVERSAS</v>
      </c>
      <c r="L39" s="54">
        <f>-'BZA DE COMP'!H43+'BZA DE COMP'!D43</f>
        <v>158885194</v>
      </c>
      <c r="M39" s="473"/>
      <c r="N39" s="472"/>
    </row>
    <row r="40" spans="1:14" s="72" customFormat="1" ht="15" customHeight="1" x14ac:dyDescent="0.2">
      <c r="A40" s="71"/>
      <c r="G40" s="29"/>
      <c r="I40" s="475" t="str">
        <f>+'BZA DE COMP'!C25</f>
        <v>BIENES MUEBLES</v>
      </c>
      <c r="J40" s="472"/>
      <c r="K40" s="472"/>
      <c r="L40" s="54">
        <f>+'BZA DE COMP'!E25</f>
        <v>1106379</v>
      </c>
      <c r="M40" s="78"/>
    </row>
    <row r="41" spans="1:14" s="72" customFormat="1" ht="15" customHeight="1" x14ac:dyDescent="0.2">
      <c r="A41" s="71"/>
      <c r="I41" s="65" t="s">
        <v>80</v>
      </c>
      <c r="L41" s="356">
        <f>'BZA DE COMP'!D55-'BZA DE COMP'!H55</f>
        <v>22815176</v>
      </c>
      <c r="M41" s="78"/>
      <c r="N41" s="85"/>
    </row>
    <row r="42" spans="1:14" s="72" customFormat="1" ht="15" hidden="1" customHeight="1" x14ac:dyDescent="0.2">
      <c r="A42" s="71"/>
      <c r="C42" s="476" t="s">
        <v>688</v>
      </c>
      <c r="D42" s="477"/>
      <c r="E42" s="356"/>
      <c r="I42" s="71"/>
      <c r="J42" s="71"/>
      <c r="K42" s="71"/>
      <c r="L42" s="563"/>
      <c r="M42" s="78"/>
      <c r="N42" s="85"/>
    </row>
    <row r="43" spans="1:14" s="72" customFormat="1" ht="15" hidden="1" customHeight="1" x14ac:dyDescent="0.2">
      <c r="A43" s="71"/>
      <c r="D43" s="71"/>
      <c r="G43" s="29"/>
      <c r="H43" s="78"/>
      <c r="M43" s="78"/>
      <c r="N43" s="87"/>
    </row>
    <row r="44" spans="1:14" s="72" customFormat="1" ht="15" hidden="1" customHeight="1" x14ac:dyDescent="0.2">
      <c r="A44" s="71"/>
      <c r="N44" s="85"/>
    </row>
    <row r="45" spans="1:14" s="72" customFormat="1" ht="15" customHeight="1" x14ac:dyDescent="0.2">
      <c r="A45" s="71"/>
      <c r="N45" s="85"/>
    </row>
    <row r="46" spans="1:14" s="72" customFormat="1" ht="15" customHeight="1" x14ac:dyDescent="0.2">
      <c r="A46" s="71"/>
      <c r="B46" s="84"/>
      <c r="C46" s="27"/>
      <c r="D46" s="27"/>
      <c r="E46" s="79"/>
      <c r="F46" s="75"/>
      <c r="G46" s="29"/>
      <c r="H46" s="78"/>
      <c r="I46" s="29"/>
      <c r="J46" s="29"/>
      <c r="K46" s="29"/>
      <c r="L46" s="29"/>
      <c r="M46" s="78"/>
      <c r="N46" s="85"/>
    </row>
    <row r="47" spans="1:14" s="72" customFormat="1" ht="15" customHeight="1" x14ac:dyDescent="0.2">
      <c r="A47" s="71"/>
      <c r="B47" s="84"/>
      <c r="C47" s="27"/>
      <c r="D47" s="27"/>
      <c r="E47" s="79"/>
      <c r="F47" s="75"/>
      <c r="G47" s="29"/>
      <c r="H47" s="78"/>
      <c r="I47" s="29"/>
      <c r="J47" s="29"/>
      <c r="K47" s="29"/>
      <c r="L47" s="29"/>
      <c r="M47" s="78"/>
      <c r="N47" s="85"/>
    </row>
    <row r="48" spans="1:14" s="72" customFormat="1" ht="15" customHeight="1" x14ac:dyDescent="0.2">
      <c r="A48" s="71"/>
      <c r="B48" s="84"/>
      <c r="C48" s="27"/>
      <c r="D48" s="27"/>
      <c r="E48" s="79"/>
      <c r="F48" s="75"/>
      <c r="G48" s="29"/>
      <c r="H48" s="78"/>
      <c r="I48" s="29"/>
      <c r="J48" s="29"/>
      <c r="K48" s="29"/>
      <c r="L48" s="29"/>
      <c r="M48" s="78"/>
      <c r="N48" s="85"/>
    </row>
    <row r="49" spans="1:14" s="72" customFormat="1" ht="15" customHeight="1" x14ac:dyDescent="0.2">
      <c r="A49" s="71"/>
      <c r="B49" s="84"/>
      <c r="C49" s="27"/>
      <c r="D49" s="27"/>
      <c r="E49" s="79"/>
      <c r="F49" s="75"/>
      <c r="G49" s="29"/>
      <c r="H49" s="78"/>
      <c r="I49" s="29"/>
      <c r="J49" s="29"/>
      <c r="K49" s="29"/>
      <c r="L49" s="29"/>
      <c r="M49" s="78"/>
      <c r="N49" s="85"/>
    </row>
    <row r="50" spans="1:14" s="72" customFormat="1" ht="15" customHeight="1" x14ac:dyDescent="0.2">
      <c r="A50" s="71"/>
      <c r="B50" s="84"/>
      <c r="C50" s="27"/>
      <c r="D50" s="27"/>
      <c r="E50" s="79"/>
      <c r="F50" s="75"/>
      <c r="G50" s="29"/>
      <c r="H50" s="78"/>
      <c r="I50" s="29"/>
      <c r="J50" s="29"/>
      <c r="K50" s="29"/>
      <c r="L50" s="29"/>
      <c r="M50" s="78"/>
      <c r="N50" s="85"/>
    </row>
    <row r="51" spans="1:14" s="72" customFormat="1" ht="15" customHeight="1" x14ac:dyDescent="0.25">
      <c r="A51" s="71"/>
      <c r="B51" s="625" t="s">
        <v>25</v>
      </c>
      <c r="C51" s="625"/>
      <c r="D51" s="342"/>
      <c r="E51" s="117"/>
      <c r="F51" s="343">
        <f>+F32+F34</f>
        <v>3016265413</v>
      </c>
      <c r="G51" s="19"/>
      <c r="H51" s="625" t="s">
        <v>26</v>
      </c>
      <c r="I51" s="625"/>
      <c r="J51" s="625"/>
      <c r="K51" s="625"/>
      <c r="L51" s="19"/>
      <c r="M51" s="343">
        <f>+M32+M34</f>
        <v>3420099865</v>
      </c>
      <c r="N51" s="85"/>
    </row>
    <row r="52" spans="1:14" s="72" customFormat="1" ht="15" customHeight="1" x14ac:dyDescent="0.2">
      <c r="A52" s="71"/>
      <c r="B52" s="31"/>
      <c r="C52" s="31"/>
      <c r="D52" s="31"/>
      <c r="E52" s="79"/>
      <c r="F52" s="75"/>
      <c r="G52" s="29"/>
      <c r="H52" s="78"/>
      <c r="I52" s="78"/>
      <c r="J52" s="78"/>
      <c r="K52" s="78"/>
      <c r="L52" s="29"/>
      <c r="M52" s="78"/>
      <c r="N52" s="85"/>
    </row>
    <row r="53" spans="1:14" s="72" customFormat="1" ht="15" customHeight="1" x14ac:dyDescent="0.2">
      <c r="A53" s="71"/>
      <c r="B53" s="81" t="s">
        <v>956</v>
      </c>
      <c r="C53" s="31"/>
      <c r="D53" s="31"/>
      <c r="E53" s="79"/>
      <c r="F53" s="75">
        <f>+'BZA DE COMP'!D17</f>
        <v>437781711</v>
      </c>
      <c r="G53" s="29"/>
      <c r="H53" s="81" t="s">
        <v>979</v>
      </c>
      <c r="I53" s="28"/>
      <c r="J53" s="28"/>
      <c r="K53" s="88"/>
      <c r="L53" s="29"/>
      <c r="M53" s="75">
        <f>+'BZA DE COMP'!H17</f>
        <v>33947259</v>
      </c>
      <c r="N53" s="85"/>
    </row>
    <row r="54" spans="1:14" s="72" customFormat="1" ht="15" customHeight="1" x14ac:dyDescent="0.2">
      <c r="A54" s="71"/>
      <c r="B54" s="74"/>
      <c r="C54" s="31"/>
      <c r="D54" s="31"/>
      <c r="E54" s="79"/>
      <c r="F54" s="75"/>
      <c r="G54" s="29"/>
      <c r="H54" s="81"/>
      <c r="I54" s="28"/>
      <c r="J54" s="28"/>
      <c r="K54" s="88"/>
      <c r="L54" s="29"/>
      <c r="M54" s="77"/>
      <c r="N54" s="85"/>
    </row>
    <row r="55" spans="1:14" s="72" customFormat="1" ht="15" customHeight="1" x14ac:dyDescent="0.2">
      <c r="A55" s="71"/>
      <c r="B55" s="31"/>
      <c r="C55" s="31"/>
      <c r="D55" s="31"/>
      <c r="E55" s="79"/>
      <c r="F55" s="75"/>
      <c r="G55" s="29"/>
      <c r="H55" s="81"/>
      <c r="I55" s="28"/>
      <c r="J55" s="28"/>
      <c r="K55" s="28"/>
      <c r="L55" s="29"/>
      <c r="M55" s="79"/>
      <c r="N55" s="85"/>
    </row>
    <row r="56" spans="1:14" s="72" customFormat="1" ht="15" customHeight="1" x14ac:dyDescent="0.25">
      <c r="A56" s="71"/>
      <c r="B56" s="625" t="s">
        <v>27</v>
      </c>
      <c r="C56" s="625"/>
      <c r="D56" s="342"/>
      <c r="E56" s="117"/>
      <c r="F56" s="343">
        <f>+F51+F53</f>
        <v>3454047124</v>
      </c>
      <c r="G56" s="19"/>
      <c r="H56" s="625" t="s">
        <v>27</v>
      </c>
      <c r="I56" s="625"/>
      <c r="J56" s="625"/>
      <c r="K56" s="625"/>
      <c r="L56" s="18"/>
      <c r="M56" s="343">
        <f>+M51+M53</f>
        <v>3454047124</v>
      </c>
      <c r="N56" s="85"/>
    </row>
    <row r="57" spans="1:14" s="72" customFormat="1" ht="15" customHeight="1" x14ac:dyDescent="0.2">
      <c r="A57" s="71"/>
      <c r="G57" s="107"/>
      <c r="H57" s="78"/>
      <c r="I57" s="78"/>
      <c r="J57" s="78"/>
      <c r="K57" s="78"/>
      <c r="L57" s="78"/>
      <c r="M57" s="78"/>
      <c r="N57" s="85"/>
    </row>
    <row r="58" spans="1:14" s="72" customFormat="1" ht="15" hidden="1" customHeight="1" x14ac:dyDescent="0.2">
      <c r="A58" s="71"/>
      <c r="H58" s="78"/>
      <c r="I58" s="78"/>
      <c r="J58" s="78"/>
      <c r="K58" s="78"/>
      <c r="L58" s="78"/>
      <c r="M58" s="78"/>
      <c r="N58" s="85"/>
    </row>
    <row r="59" spans="1:14" s="72" customFormat="1" ht="15" customHeight="1" x14ac:dyDescent="0.2">
      <c r="A59" s="71"/>
      <c r="F59" s="107"/>
      <c r="G59" s="107"/>
      <c r="H59" s="78"/>
      <c r="I59" s="78"/>
      <c r="J59" s="78"/>
      <c r="K59" s="78"/>
      <c r="L59" s="584" t="s">
        <v>4</v>
      </c>
      <c r="M59" s="78"/>
      <c r="N59" s="85"/>
    </row>
    <row r="60" spans="1:14" s="72" customFormat="1" ht="15" customHeight="1" x14ac:dyDescent="0.2">
      <c r="A60" s="71"/>
      <c r="F60" s="107"/>
      <c r="H60" s="85"/>
      <c r="I60" s="85"/>
      <c r="J60" s="85"/>
      <c r="K60" s="85"/>
      <c r="L60" s="85"/>
      <c r="M60" s="85"/>
      <c r="N60" s="85"/>
    </row>
    <row r="61" spans="1:14" s="72" customFormat="1" ht="15" customHeight="1" x14ac:dyDescent="0.2">
      <c r="A61" s="71"/>
      <c r="H61" s="85"/>
      <c r="I61" s="85"/>
      <c r="J61" s="85"/>
      <c r="K61" s="85"/>
      <c r="L61" s="85"/>
      <c r="M61" s="85"/>
      <c r="N61" s="85"/>
    </row>
    <row r="62" spans="1:14" s="72" customFormat="1" ht="15" customHeight="1" x14ac:dyDescent="0.2">
      <c r="A62" s="71"/>
      <c r="H62" s="85"/>
      <c r="I62" s="85"/>
      <c r="J62" s="85"/>
      <c r="K62" s="85"/>
      <c r="L62" s="85"/>
      <c r="M62" s="85"/>
      <c r="N62" s="85"/>
    </row>
    <row r="63" spans="1:14" s="72" customFormat="1" ht="15" customHeight="1" x14ac:dyDescent="0.2">
      <c r="A63" s="71"/>
      <c r="H63" s="85"/>
      <c r="I63" s="85"/>
      <c r="J63" s="85"/>
      <c r="K63" s="85"/>
      <c r="L63" s="85"/>
      <c r="M63" s="85"/>
      <c r="N63" s="85"/>
    </row>
    <row r="64" spans="1:14" s="72" customFormat="1" ht="15" customHeight="1" x14ac:dyDescent="0.2">
      <c r="A64" s="71"/>
      <c r="F64" s="89"/>
      <c r="H64" s="85"/>
      <c r="I64" s="85"/>
      <c r="J64" s="85"/>
      <c r="K64" s="85"/>
      <c r="L64" s="85"/>
      <c r="M64" s="85"/>
      <c r="N64" s="85"/>
    </row>
    <row r="65" spans="1:14" s="72" customFormat="1" ht="15" customHeight="1" x14ac:dyDescent="0.2">
      <c r="A65" s="71"/>
      <c r="H65" s="85"/>
      <c r="I65" s="85"/>
      <c r="J65" s="85"/>
      <c r="K65" s="85"/>
      <c r="L65" s="85"/>
      <c r="M65" s="85"/>
      <c r="N65" s="85"/>
    </row>
    <row r="66" spans="1:14" s="72" customFormat="1" ht="15.75" customHeight="1" x14ac:dyDescent="0.2">
      <c r="A66" s="71"/>
      <c r="B66" s="71"/>
      <c r="C66" s="90"/>
      <c r="D66" s="90"/>
      <c r="E66" s="91"/>
      <c r="F66" s="91"/>
      <c r="G66" s="91"/>
      <c r="H66" s="92"/>
      <c r="I66" s="92"/>
      <c r="J66" s="92"/>
      <c r="K66" s="92"/>
      <c r="L66" s="92"/>
      <c r="M66" s="92"/>
      <c r="N66" s="85"/>
    </row>
    <row r="67" spans="1:14" s="72" customFormat="1" ht="15.75" customHeight="1" x14ac:dyDescent="0.2">
      <c r="A67" s="71"/>
      <c r="C67" s="624"/>
      <c r="D67" s="624"/>
      <c r="E67" s="624"/>
      <c r="F67" s="91"/>
      <c r="G67" s="93"/>
      <c r="H67" s="624"/>
      <c r="I67" s="624"/>
      <c r="J67" s="624"/>
      <c r="K67" s="624"/>
      <c r="L67" s="624"/>
      <c r="M67" s="624"/>
      <c r="N67" s="85"/>
    </row>
    <row r="68" spans="1:14" s="72" customFormat="1" ht="15.75" customHeight="1" x14ac:dyDescent="0.2">
      <c r="A68" s="71"/>
      <c r="C68" s="624"/>
      <c r="D68" s="624"/>
      <c r="E68" s="624"/>
      <c r="F68" s="91"/>
      <c r="G68" s="93"/>
      <c r="H68" s="624"/>
      <c r="I68" s="624"/>
      <c r="J68" s="624"/>
      <c r="K68" s="624"/>
      <c r="L68" s="624"/>
      <c r="M68" s="624"/>
      <c r="N68" s="85"/>
    </row>
    <row r="69" spans="1:14" s="72" customFormat="1" ht="15.75" customHeight="1" x14ac:dyDescent="0.2">
      <c r="A69" s="71"/>
      <c r="C69" s="94"/>
      <c r="D69" s="94"/>
      <c r="E69" s="94"/>
      <c r="F69" s="91"/>
      <c r="G69" s="93"/>
      <c r="H69" s="624"/>
      <c r="I69" s="624"/>
      <c r="J69" s="624"/>
      <c r="K69" s="624"/>
      <c r="L69" s="624"/>
      <c r="M69" s="624"/>
      <c r="N69" s="85"/>
    </row>
    <row r="70" spans="1:14" s="72" customFormat="1" ht="15.75" customHeight="1" x14ac:dyDescent="0.2">
      <c r="A70" s="71"/>
      <c r="C70" s="90"/>
      <c r="D70" s="90"/>
      <c r="E70" s="91"/>
      <c r="F70" s="91"/>
      <c r="G70" s="93"/>
      <c r="H70" s="93"/>
      <c r="I70" s="95"/>
      <c r="J70" s="95"/>
      <c r="K70" s="95"/>
      <c r="L70" s="95"/>
      <c r="M70" s="95"/>
      <c r="N70" s="85"/>
    </row>
    <row r="71" spans="1:14" s="72" customFormat="1" ht="15.75" customHeight="1" x14ac:dyDescent="0.2">
      <c r="A71" s="71"/>
      <c r="C71" s="90"/>
      <c r="D71" s="90"/>
      <c r="E71" s="91"/>
      <c r="F71" s="91"/>
      <c r="G71" s="93"/>
      <c r="H71" s="93"/>
      <c r="I71" s="95"/>
      <c r="J71" s="95"/>
      <c r="K71" s="95"/>
      <c r="L71" s="95"/>
      <c r="M71" s="95"/>
      <c r="N71" s="85"/>
    </row>
    <row r="72" spans="1:14" s="72" customFormat="1" ht="15.75" customHeight="1" x14ac:dyDescent="0.2">
      <c r="A72" s="71"/>
      <c r="N72" s="85"/>
    </row>
    <row r="73" spans="1:14" s="72" customFormat="1" ht="15.75" customHeight="1" x14ac:dyDescent="0.2">
      <c r="A73" s="71"/>
      <c r="N73" s="87"/>
    </row>
    <row r="74" spans="1:14" s="72" customFormat="1" ht="15.75" customHeight="1" x14ac:dyDescent="0.2">
      <c r="A74" s="71"/>
      <c r="F74" s="107"/>
      <c r="N74" s="85"/>
    </row>
    <row r="75" spans="1:14" s="72" customFormat="1" ht="15.75" customHeight="1" x14ac:dyDescent="0.2">
      <c r="A75" s="71"/>
      <c r="N75" s="85"/>
    </row>
    <row r="76" spans="1:14" s="72" customFormat="1" ht="15.75" customHeight="1" x14ac:dyDescent="0.2">
      <c r="A76" s="71"/>
      <c r="B76" s="71"/>
      <c r="C76" s="71"/>
      <c r="D76" s="71"/>
      <c r="E76" s="86"/>
      <c r="F76" s="96"/>
      <c r="H76" s="97"/>
      <c r="I76" s="92"/>
      <c r="J76" s="92"/>
      <c r="K76" s="92"/>
      <c r="M76" s="86"/>
      <c r="N76" s="86"/>
    </row>
    <row r="77" spans="1:14" s="72" customFormat="1" ht="15.75" customHeight="1" x14ac:dyDescent="0.2">
      <c r="A77" s="71"/>
      <c r="N77" s="87"/>
    </row>
    <row r="78" spans="1:14" s="72" customFormat="1" ht="15.75" customHeight="1" x14ac:dyDescent="0.2">
      <c r="A78" s="71"/>
      <c r="B78" s="90"/>
      <c r="N78" s="71"/>
    </row>
    <row r="79" spans="1:14" s="72" customFormat="1" ht="15.75" customHeight="1" x14ac:dyDescent="0.2">
      <c r="A79" s="71"/>
      <c r="B79" s="90"/>
      <c r="N79" s="71"/>
    </row>
    <row r="80" spans="1:14" s="72" customFormat="1" ht="15.75" customHeight="1" x14ac:dyDescent="0.2">
      <c r="A80" s="71"/>
      <c r="B80" s="90"/>
      <c r="N80" s="71"/>
    </row>
    <row r="81" spans="1:14" s="72" customFormat="1" ht="15.75" customHeight="1" x14ac:dyDescent="0.2">
      <c r="A81" s="71"/>
      <c r="B81" s="90"/>
      <c r="N81" s="71"/>
    </row>
    <row r="82" spans="1:14" s="72" customFormat="1" ht="15.75" customHeight="1" x14ac:dyDescent="0.2">
      <c r="A82" s="71"/>
      <c r="B82" s="90"/>
      <c r="N82" s="71"/>
    </row>
    <row r="83" spans="1:14" s="72" customFormat="1" ht="15.75" customHeight="1" x14ac:dyDescent="0.2">
      <c r="A83" s="71"/>
      <c r="B83" s="90"/>
      <c r="N83" s="71"/>
    </row>
    <row r="84" spans="1:14" s="98" customFormat="1" ht="15.75" customHeight="1" x14ac:dyDescent="0.2">
      <c r="F84" s="99"/>
    </row>
    <row r="85" spans="1:14" s="98" customFormat="1" ht="15.75" customHeight="1" x14ac:dyDescent="0.2">
      <c r="F85" s="99"/>
    </row>
    <row r="86" spans="1:14" s="98" customFormat="1" ht="15.75" customHeight="1" x14ac:dyDescent="0.2">
      <c r="B86" s="94"/>
      <c r="F86" s="94"/>
    </row>
    <row r="87" spans="1:14" s="98" customFormat="1" ht="15.75" customHeight="1" x14ac:dyDescent="0.2"/>
    <row r="88" spans="1:14" ht="15.75" customHeight="1" x14ac:dyDescent="0.2">
      <c r="B88" s="90"/>
      <c r="C88" s="90"/>
      <c r="D88" s="90"/>
      <c r="E88" s="91"/>
      <c r="F88" s="91"/>
      <c r="G88" s="100"/>
    </row>
    <row r="89" spans="1:14" ht="15.75" customHeight="1" x14ac:dyDescent="0.2">
      <c r="B89" s="101"/>
      <c r="C89" s="101"/>
      <c r="D89" s="101"/>
      <c r="E89" s="90"/>
      <c r="F89" s="90"/>
      <c r="G89" s="100"/>
    </row>
    <row r="90" spans="1:14" ht="15.75" customHeight="1" x14ac:dyDescent="0.2">
      <c r="B90" s="102"/>
      <c r="C90" s="102"/>
      <c r="D90" s="102"/>
      <c r="E90" s="91"/>
      <c r="F90" s="91"/>
      <c r="G90" s="100"/>
    </row>
    <row r="91" spans="1:14" ht="15.75" customHeight="1" x14ac:dyDescent="0.2">
      <c r="B91" s="102"/>
      <c r="C91" s="102"/>
      <c r="D91" s="102"/>
      <c r="E91" s="91"/>
      <c r="F91" s="91"/>
      <c r="G91" s="100"/>
    </row>
    <row r="92" spans="1:14" ht="15.75" customHeight="1" x14ac:dyDescent="0.2">
      <c r="B92" s="103"/>
      <c r="C92" s="103"/>
      <c r="D92" s="103"/>
      <c r="E92" s="91"/>
      <c r="F92" s="91"/>
      <c r="G92" s="104"/>
    </row>
    <row r="93" spans="1:14" ht="15.75" customHeight="1" x14ac:dyDescent="0.2">
      <c r="B93" s="102"/>
      <c r="C93" s="102"/>
      <c r="D93" s="102"/>
      <c r="E93" s="91"/>
      <c r="F93" s="91"/>
    </row>
    <row r="94" spans="1:14" ht="15.75" customHeight="1" x14ac:dyDescent="0.2">
      <c r="B94" s="102"/>
      <c r="C94" s="102"/>
      <c r="D94" s="102"/>
      <c r="E94" s="91"/>
      <c r="F94" s="91"/>
    </row>
    <row r="95" spans="1:14" ht="15.75" customHeight="1" x14ac:dyDescent="0.2">
      <c r="B95" s="102"/>
      <c r="C95" s="102"/>
      <c r="D95" s="102"/>
    </row>
    <row r="96" spans="1:14" ht="15.75" customHeight="1" x14ac:dyDescent="0.2">
      <c r="B96" s="102"/>
      <c r="C96" s="102"/>
      <c r="D96" s="102"/>
      <c r="E96" s="105"/>
    </row>
    <row r="97" spans="2:8" ht="15.75" customHeight="1" x14ac:dyDescent="0.2">
      <c r="B97" s="102"/>
      <c r="C97" s="102"/>
      <c r="D97" s="102"/>
    </row>
    <row r="105" spans="2:8" ht="15.75" customHeight="1" x14ac:dyDescent="0.2">
      <c r="H105" s="100"/>
    </row>
    <row r="106" spans="2:8" ht="15.75" customHeight="1" x14ac:dyDescent="0.2">
      <c r="H106" s="100"/>
    </row>
    <row r="107" spans="2:8" ht="15.75" customHeight="1" x14ac:dyDescent="0.2">
      <c r="H107" s="100"/>
    </row>
    <row r="108" spans="2:8" ht="15.75" customHeight="1" x14ac:dyDescent="0.2">
      <c r="H108" s="100"/>
    </row>
    <row r="109" spans="2:8" ht="15.75" customHeight="1" x14ac:dyDescent="0.2">
      <c r="H109" s="100"/>
    </row>
    <row r="110" spans="2:8" ht="15.75" customHeight="1" x14ac:dyDescent="0.2">
      <c r="H110" s="100"/>
    </row>
    <row r="113" spans="7:7" ht="15.75" customHeight="1" x14ac:dyDescent="0.2">
      <c r="G113" s="100"/>
    </row>
    <row r="114" spans="7:7" ht="15.75" customHeight="1" x14ac:dyDescent="0.2">
      <c r="G114" s="100"/>
    </row>
    <row r="115" spans="7:7" ht="15.75" customHeight="1" x14ac:dyDescent="0.2">
      <c r="G115" s="100"/>
    </row>
    <row r="116" spans="7:7" ht="15.75" customHeight="1" x14ac:dyDescent="0.2">
      <c r="G116" s="100"/>
    </row>
    <row r="117" spans="7:7" ht="15.75" customHeight="1" x14ac:dyDescent="0.2">
      <c r="G117" s="100"/>
    </row>
    <row r="118" spans="7:7" ht="15.75" customHeight="1" x14ac:dyDescent="0.2">
      <c r="G118" s="100"/>
    </row>
  </sheetData>
  <mergeCells count="16">
    <mergeCell ref="A2:N2"/>
    <mergeCell ref="A3:N3"/>
    <mergeCell ref="B51:C51"/>
    <mergeCell ref="H51:K51"/>
    <mergeCell ref="C68:E68"/>
    <mergeCell ref="H68:M68"/>
    <mergeCell ref="B32:C32"/>
    <mergeCell ref="H32:K32"/>
    <mergeCell ref="A4:M4"/>
    <mergeCell ref="B11:F12"/>
    <mergeCell ref="H11:M12"/>
    <mergeCell ref="H69:M69"/>
    <mergeCell ref="B56:C56"/>
    <mergeCell ref="H56:K56"/>
    <mergeCell ref="C67:E67"/>
    <mergeCell ref="H67:M67"/>
  </mergeCells>
  <phoneticPr fontId="10" type="noConversion"/>
  <printOptions horizontalCentered="1" verticalCentered="1"/>
  <pageMargins left="0.59055118110236227" right="0.59055118110236227" top="0.59055118110236227" bottom="0.59055118110236227" header="0" footer="0"/>
  <pageSetup scale="56" orientation="landscape" horizontalDpi="300" verticalDpi="300" r:id="rId1"/>
  <headerFooter alignWithMargins="0"/>
  <rowBreaks count="1" manualBreakCount="1">
    <brk id="65" max="16383" man="1"/>
  </rowBreaks>
  <drawing r:id="rId2"/>
  <legacyDrawing r:id="rId3"/>
  <oleObjects>
    <mc:AlternateContent xmlns:mc="http://schemas.openxmlformats.org/markup-compatibility/2006">
      <mc:Choice Requires="x14">
        <oleObject progId="Excel.Sheet.8" shapeId="38941" r:id="rId4">
          <objectPr defaultSize="0" autoPict="0" r:id="rId5">
            <anchor moveWithCells="1" sizeWithCells="1">
              <from>
                <xdr:col>8</xdr:col>
                <xdr:colOff>381000</xdr:colOff>
                <xdr:row>60</xdr:row>
                <xdr:rowOff>114300</xdr:rowOff>
              </from>
              <to>
                <xdr:col>10</xdr:col>
                <xdr:colOff>685800</xdr:colOff>
                <xdr:row>64</xdr:row>
                <xdr:rowOff>47625</xdr:rowOff>
              </to>
            </anchor>
          </objectPr>
        </oleObject>
      </mc:Choice>
      <mc:Fallback>
        <oleObject progId="Excel.Sheet.8" shapeId="38941" r:id="rId4"/>
      </mc:Fallback>
    </mc:AlternateContent>
    <mc:AlternateContent xmlns:mc="http://schemas.openxmlformats.org/markup-compatibility/2006">
      <mc:Choice Requires="x14">
        <oleObject progId="Excel.Sheet.8" shapeId="38942" r:id="rId6">
          <objectPr defaultSize="0" autoPict="0" r:id="rId7">
            <anchor moveWithCells="1" sizeWithCells="1">
              <from>
                <xdr:col>2</xdr:col>
                <xdr:colOff>1171575</xdr:colOff>
                <xdr:row>60</xdr:row>
                <xdr:rowOff>114300</xdr:rowOff>
              </from>
              <to>
                <xdr:col>4</xdr:col>
                <xdr:colOff>962025</xdr:colOff>
                <xdr:row>64</xdr:row>
                <xdr:rowOff>47625</xdr:rowOff>
              </to>
            </anchor>
          </objectPr>
        </oleObject>
      </mc:Choice>
      <mc:Fallback>
        <oleObject progId="Excel.Sheet.8" shapeId="38942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4"/>
  <sheetViews>
    <sheetView topLeftCell="A13" zoomScale="70" zoomScaleNormal="70" zoomScaleSheetLayoutView="70" workbookViewId="0">
      <selection activeCell="A88" sqref="A88:XFD100"/>
    </sheetView>
  </sheetViews>
  <sheetFormatPr baseColWidth="10" defaultRowHeight="15.75" customHeight="1" x14ac:dyDescent="0.2"/>
  <cols>
    <col min="1" max="1" width="7.5703125" style="32" customWidth="1"/>
    <col min="2" max="2" width="4.7109375" style="32" customWidth="1"/>
    <col min="3" max="3" width="59" style="32" customWidth="1"/>
    <col min="4" max="6" width="28.5703125" style="32" customWidth="1"/>
    <col min="7" max="7" width="28.5703125" style="32" hidden="1" customWidth="1"/>
    <col min="8" max="8" width="28.5703125" style="32" customWidth="1"/>
    <col min="9" max="9" width="7.5703125" style="32" customWidth="1"/>
    <col min="10" max="10" width="4" style="36" customWidth="1"/>
    <col min="11" max="11" width="20.5703125" style="360" bestFit="1" customWidth="1"/>
    <col min="12" max="12" width="21.42578125" style="360" bestFit="1" customWidth="1"/>
    <col min="13" max="13" width="20.7109375" style="360" bestFit="1" customWidth="1"/>
    <col min="14" max="14" width="20.28515625" style="309" bestFit="1" customWidth="1"/>
    <col min="15" max="15" width="21.42578125" style="483" bestFit="1" customWidth="1"/>
    <col min="16" max="16384" width="11.42578125" style="32"/>
  </cols>
  <sheetData>
    <row r="1" spans="1:15" ht="13.5" customHeight="1" x14ac:dyDescent="0.2"/>
    <row r="2" spans="1:15" ht="13.5" customHeight="1" x14ac:dyDescent="0.2">
      <c r="A2" s="33"/>
      <c r="B2" s="33"/>
      <c r="C2" s="33"/>
      <c r="D2" s="33"/>
      <c r="E2" s="33"/>
      <c r="F2" s="33"/>
      <c r="G2" s="33"/>
      <c r="H2" s="33"/>
      <c r="I2" s="33"/>
      <c r="J2" s="34"/>
    </row>
    <row r="3" spans="1:15" ht="29.25" customHeight="1" x14ac:dyDescent="0.2">
      <c r="A3" s="619" t="s">
        <v>7</v>
      </c>
      <c r="B3" s="619"/>
      <c r="C3" s="619"/>
      <c r="D3" s="619"/>
      <c r="E3" s="619"/>
      <c r="F3" s="619"/>
      <c r="G3" s="619"/>
      <c r="H3" s="619"/>
      <c r="I3" s="619"/>
      <c r="J3" s="34"/>
    </row>
    <row r="4" spans="1:15" ht="29.25" customHeight="1" x14ac:dyDescent="0.2">
      <c r="A4" s="620" t="s">
        <v>106</v>
      </c>
      <c r="B4" s="620"/>
      <c r="C4" s="620"/>
      <c r="D4" s="620"/>
      <c r="E4" s="620"/>
      <c r="F4" s="620"/>
      <c r="G4" s="620"/>
      <c r="H4" s="620"/>
      <c r="I4" s="620"/>
      <c r="J4" s="34"/>
    </row>
    <row r="5" spans="1:15" ht="9" customHeight="1" x14ac:dyDescent="0.25">
      <c r="A5" s="622"/>
      <c r="B5" s="622"/>
      <c r="C5" s="622"/>
      <c r="D5" s="622"/>
      <c r="E5" s="622"/>
      <c r="F5" s="622"/>
      <c r="G5" s="622"/>
      <c r="H5" s="622"/>
      <c r="I5" s="39"/>
      <c r="J5" s="34"/>
    </row>
    <row r="6" spans="1:15" ht="15.75" customHeight="1" x14ac:dyDescent="0.2">
      <c r="A6" s="33"/>
      <c r="B6" s="33"/>
      <c r="C6" s="33"/>
      <c r="D6" s="33"/>
      <c r="E6" s="33"/>
      <c r="F6" s="33"/>
      <c r="G6" s="33"/>
      <c r="H6" s="33"/>
      <c r="I6" s="33"/>
      <c r="J6" s="34"/>
    </row>
    <row r="7" spans="1:15" ht="15.75" customHeight="1" x14ac:dyDescent="0.25">
      <c r="A7" s="34"/>
      <c r="B7" s="35" t="s">
        <v>97</v>
      </c>
      <c r="C7" s="35"/>
      <c r="D7" s="35"/>
      <c r="E7" s="40"/>
      <c r="F7" s="40"/>
      <c r="G7" s="40"/>
      <c r="H7" s="40"/>
      <c r="I7" s="34"/>
      <c r="J7" s="34"/>
    </row>
    <row r="8" spans="1:15" ht="15.75" customHeight="1" x14ac:dyDescent="0.25">
      <c r="A8" s="34"/>
      <c r="B8" s="38" t="s">
        <v>964</v>
      </c>
      <c r="C8" s="35"/>
      <c r="D8" s="35"/>
      <c r="E8" s="40"/>
      <c r="F8" s="40"/>
      <c r="G8" s="40"/>
      <c r="H8" s="40"/>
      <c r="I8" s="34"/>
      <c r="J8" s="34"/>
    </row>
    <row r="9" spans="1:15" ht="15.75" customHeight="1" x14ac:dyDescent="0.25">
      <c r="A9" s="34"/>
      <c r="B9" s="35" t="s">
        <v>8</v>
      </c>
      <c r="C9" s="35"/>
      <c r="D9" s="35"/>
      <c r="E9" s="40"/>
      <c r="F9" s="40"/>
      <c r="G9" s="40"/>
      <c r="H9" s="40"/>
      <c r="I9" s="34"/>
      <c r="J9" s="34"/>
    </row>
    <row r="10" spans="1:15" ht="15.75" customHeight="1" x14ac:dyDescent="0.25">
      <c r="A10" s="34"/>
      <c r="B10" s="35"/>
      <c r="C10" s="35"/>
      <c r="D10" s="35"/>
      <c r="E10" s="40"/>
      <c r="F10" s="40"/>
      <c r="G10" s="40"/>
      <c r="H10" s="40"/>
      <c r="I10" s="34"/>
      <c r="J10" s="34"/>
    </row>
    <row r="11" spans="1:15" s="41" customFormat="1" ht="19.5" customHeight="1" x14ac:dyDescent="0.2">
      <c r="A11" s="44"/>
      <c r="B11" s="45"/>
      <c r="C11" s="45"/>
      <c r="D11" s="45"/>
      <c r="E11" s="45"/>
      <c r="F11" s="45"/>
      <c r="G11" s="45"/>
      <c r="H11" s="45"/>
      <c r="I11" s="44"/>
      <c r="J11" s="44"/>
      <c r="K11" s="361"/>
      <c r="L11" s="361"/>
      <c r="M11" s="361"/>
      <c r="N11" s="238"/>
      <c r="O11" s="390"/>
    </row>
    <row r="12" spans="1:15" s="48" customFormat="1" ht="19.5" customHeight="1" x14ac:dyDescent="0.2">
      <c r="B12" s="16"/>
      <c r="C12" s="16"/>
      <c r="D12" s="631" t="s">
        <v>107</v>
      </c>
      <c r="E12" s="623" t="s">
        <v>108</v>
      </c>
      <c r="F12" s="623"/>
      <c r="G12" s="339"/>
      <c r="H12" s="631" t="s">
        <v>109</v>
      </c>
      <c r="I12" s="46"/>
      <c r="J12" s="44"/>
      <c r="K12" s="361"/>
      <c r="L12" s="361"/>
      <c r="M12" s="361"/>
      <c r="N12" s="238"/>
      <c r="O12" s="390"/>
    </row>
    <row r="13" spans="1:15" s="48" customFormat="1" ht="19.5" customHeight="1" x14ac:dyDescent="0.25">
      <c r="B13" s="182"/>
      <c r="C13" s="182"/>
      <c r="D13" s="631"/>
      <c r="E13" s="339" t="s">
        <v>110</v>
      </c>
      <c r="F13" s="339" t="s">
        <v>111</v>
      </c>
      <c r="G13" s="339"/>
      <c r="H13" s="631" t="s">
        <v>112</v>
      </c>
      <c r="I13" s="46"/>
      <c r="J13" s="44"/>
      <c r="K13" s="361"/>
      <c r="L13" s="361"/>
      <c r="M13" s="361"/>
      <c r="N13" s="238"/>
      <c r="O13" s="390"/>
    </row>
    <row r="14" spans="1:15" s="52" customFormat="1" ht="19.5" customHeight="1" x14ac:dyDescent="0.2">
      <c r="A14" s="57"/>
      <c r="B14" s="106"/>
      <c r="C14" s="106"/>
      <c r="D14" s="183"/>
      <c r="E14" s="27"/>
      <c r="F14" s="183"/>
      <c r="G14" s="183"/>
      <c r="H14" s="184"/>
      <c r="I14" s="56"/>
      <c r="J14" s="389"/>
      <c r="K14" s="361"/>
      <c r="L14" s="361"/>
      <c r="M14" s="361"/>
      <c r="N14" s="238"/>
      <c r="O14" s="390"/>
    </row>
    <row r="15" spans="1:15" s="48" customFormat="1" ht="19.5" customHeight="1" x14ac:dyDescent="0.25">
      <c r="B15" s="338" t="s">
        <v>113</v>
      </c>
      <c r="C15" s="344"/>
      <c r="D15" s="18"/>
      <c r="E15" s="16"/>
      <c r="F15" s="18"/>
      <c r="G15" s="18"/>
      <c r="H15" s="185"/>
      <c r="I15" s="46"/>
      <c r="J15" s="389"/>
      <c r="K15" s="361"/>
      <c r="L15" s="361"/>
      <c r="M15" s="361"/>
      <c r="N15" s="238"/>
      <c r="O15" s="390"/>
    </row>
    <row r="16" spans="1:15" s="52" customFormat="1" ht="19.5" customHeight="1" x14ac:dyDescent="0.25">
      <c r="A16" s="57"/>
      <c r="B16" s="186"/>
      <c r="C16" s="186"/>
      <c r="D16" s="189"/>
      <c r="E16" s="187"/>
      <c r="F16" s="187"/>
      <c r="G16" s="187"/>
      <c r="H16" s="187"/>
      <c r="I16" s="56"/>
      <c r="J16" s="389"/>
      <c r="K16" s="361"/>
      <c r="L16" s="361"/>
      <c r="M16" s="361"/>
      <c r="N16" s="238"/>
      <c r="O16" s="390"/>
    </row>
    <row r="17" spans="1:15" s="52" customFormat="1" ht="19.5" customHeight="1" x14ac:dyDescent="0.25">
      <c r="A17" s="57"/>
      <c r="B17" s="186"/>
      <c r="C17" s="186" t="s">
        <v>114</v>
      </c>
      <c r="D17" s="515">
        <v>437781711</v>
      </c>
      <c r="E17" s="187">
        <v>983467926</v>
      </c>
      <c r="F17" s="187">
        <v>1387302378</v>
      </c>
      <c r="G17" s="189"/>
      <c r="H17" s="187">
        <f>+D17+E17-F17</f>
        <v>33947259</v>
      </c>
      <c r="I17" s="301"/>
      <c r="J17" s="389"/>
      <c r="K17" s="361"/>
      <c r="L17" s="469"/>
      <c r="M17" s="361"/>
      <c r="N17" s="361"/>
      <c r="O17" s="469"/>
    </row>
    <row r="18" spans="1:15" s="52" customFormat="1" ht="19.5" customHeight="1" x14ac:dyDescent="0.25">
      <c r="A18" s="57"/>
      <c r="B18" s="186"/>
      <c r="C18" s="186" t="s">
        <v>115</v>
      </c>
      <c r="D18" s="515">
        <v>1704833</v>
      </c>
      <c r="E18" s="187">
        <v>1736774548</v>
      </c>
      <c r="F18" s="187">
        <v>1736774548</v>
      </c>
      <c r="G18" s="187"/>
      <c r="H18" s="187">
        <f>+D18+E18-F18</f>
        <v>1704833</v>
      </c>
      <c r="I18" s="301"/>
      <c r="J18" s="389"/>
      <c r="K18" s="361"/>
      <c r="L18" s="469"/>
      <c r="M18" s="361"/>
      <c r="N18" s="361"/>
      <c r="O18" s="469"/>
    </row>
    <row r="19" spans="1:15" s="52" customFormat="1" ht="19.5" customHeight="1" x14ac:dyDescent="0.25">
      <c r="A19" s="57"/>
      <c r="B19" s="186"/>
      <c r="C19" s="186" t="s">
        <v>116</v>
      </c>
      <c r="D19" s="515">
        <v>3012621</v>
      </c>
      <c r="E19" s="187">
        <v>691880</v>
      </c>
      <c r="F19" s="189">
        <v>2412121</v>
      </c>
      <c r="G19" s="187"/>
      <c r="H19" s="187">
        <f>+D19+E19-F19</f>
        <v>1292380</v>
      </c>
      <c r="I19" s="301"/>
      <c r="J19" s="390"/>
      <c r="K19" s="361"/>
      <c r="L19" s="469"/>
      <c r="M19" s="361"/>
      <c r="N19" s="361"/>
      <c r="O19" s="469"/>
    </row>
    <row r="20" spans="1:15" s="52" customFormat="1" ht="19.5" customHeight="1" x14ac:dyDescent="0.25">
      <c r="A20" s="57"/>
      <c r="B20" s="186"/>
      <c r="C20" s="186" t="s">
        <v>117</v>
      </c>
      <c r="D20" s="515">
        <v>2267478</v>
      </c>
      <c r="E20" s="187">
        <v>0</v>
      </c>
      <c r="F20" s="189">
        <v>0</v>
      </c>
      <c r="G20" s="187"/>
      <c r="H20" s="187">
        <f>+D20+E20-F20</f>
        <v>2267478</v>
      </c>
      <c r="I20" s="56"/>
      <c r="J20" s="470"/>
      <c r="K20" s="361"/>
      <c r="L20" s="361"/>
      <c r="M20" s="361"/>
      <c r="N20" s="361"/>
      <c r="O20" s="469"/>
    </row>
    <row r="21" spans="1:15" s="52" customFormat="1" ht="19.5" customHeight="1" x14ac:dyDescent="0.25">
      <c r="A21" s="57"/>
      <c r="B21" s="186"/>
      <c r="C21" s="186" t="s">
        <v>118</v>
      </c>
      <c r="D21" s="515">
        <v>0</v>
      </c>
      <c r="E21" s="187">
        <v>290178502</v>
      </c>
      <c r="F21" s="187">
        <v>290178502</v>
      </c>
      <c r="G21" s="187"/>
      <c r="H21" s="187">
        <f>+D21+E21-F21</f>
        <v>0</v>
      </c>
      <c r="I21" s="56"/>
      <c r="J21" s="470"/>
      <c r="K21" s="361"/>
      <c r="L21" s="361"/>
      <c r="M21" s="361"/>
      <c r="N21" s="361"/>
      <c r="O21" s="469"/>
    </row>
    <row r="22" spans="1:15" s="52" customFormat="1" ht="19.5" customHeight="1" x14ac:dyDescent="0.25">
      <c r="A22" s="57"/>
      <c r="B22" s="190"/>
      <c r="C22" s="190"/>
      <c r="D22" s="515"/>
      <c r="E22" s="187"/>
      <c r="F22" s="189"/>
      <c r="G22" s="189"/>
      <c r="H22" s="187"/>
      <c r="I22" s="56"/>
      <c r="J22" s="389"/>
      <c r="K22" s="361"/>
      <c r="L22" s="361"/>
      <c r="M22" s="361"/>
      <c r="N22" s="361"/>
      <c r="O22" s="469"/>
    </row>
    <row r="23" spans="1:15" s="52" customFormat="1" ht="19.5" customHeight="1" x14ac:dyDescent="0.25">
      <c r="A23" s="57"/>
      <c r="B23" s="192" t="s">
        <v>119</v>
      </c>
      <c r="C23" s="192"/>
      <c r="D23" s="515">
        <f>SUM(D17:D22)</f>
        <v>444766643</v>
      </c>
      <c r="E23" s="188">
        <f>SUM(E17:E22)</f>
        <v>3011112856</v>
      </c>
      <c r="F23" s="188">
        <f>SUM(F17:F22)</f>
        <v>3416667549</v>
      </c>
      <c r="G23" s="193"/>
      <c r="H23" s="188">
        <f>SUM(H17:H22)</f>
        <v>39211950</v>
      </c>
      <c r="I23" s="79"/>
      <c r="J23" s="389"/>
      <c r="K23" s="361"/>
      <c r="L23" s="361"/>
      <c r="M23" s="361"/>
      <c r="N23" s="361"/>
      <c r="O23" s="469"/>
    </row>
    <row r="24" spans="1:15" s="48" customFormat="1" ht="19.5" customHeight="1" x14ac:dyDescent="0.25">
      <c r="A24" s="57"/>
      <c r="B24" s="186"/>
      <c r="C24" s="186"/>
      <c r="D24" s="515"/>
      <c r="E24" s="194"/>
      <c r="F24" s="187"/>
      <c r="G24" s="187"/>
      <c r="H24" s="187"/>
      <c r="I24" s="56"/>
      <c r="J24" s="389"/>
      <c r="K24" s="361"/>
      <c r="L24" s="361"/>
      <c r="M24" s="361"/>
      <c r="N24" s="361"/>
      <c r="O24" s="469"/>
    </row>
    <row r="25" spans="1:15" s="48" customFormat="1" ht="19.5" customHeight="1" x14ac:dyDescent="0.25">
      <c r="A25" s="57"/>
      <c r="B25" s="195"/>
      <c r="C25" s="186" t="s">
        <v>120</v>
      </c>
      <c r="D25" s="515">
        <v>133522709</v>
      </c>
      <c r="E25" s="187">
        <f>607357+141671+3082+243800+110469</f>
        <v>1106379</v>
      </c>
      <c r="F25" s="189">
        <v>0</v>
      </c>
      <c r="G25" s="189"/>
      <c r="H25" s="187">
        <f>+D25+E25-F25</f>
        <v>134629088</v>
      </c>
      <c r="I25" s="56"/>
      <c r="J25" s="470"/>
      <c r="K25" s="361"/>
      <c r="L25" s="361"/>
      <c r="M25" s="361"/>
      <c r="N25" s="361"/>
      <c r="O25" s="469"/>
    </row>
    <row r="26" spans="1:15" s="48" customFormat="1" ht="19.5" customHeight="1" x14ac:dyDescent="0.25">
      <c r="A26" s="57"/>
      <c r="B26" s="195"/>
      <c r="C26" s="186" t="s">
        <v>121</v>
      </c>
      <c r="D26" s="515">
        <v>444159847</v>
      </c>
      <c r="E26" s="187">
        <v>0</v>
      </c>
      <c r="F26" s="187">
        <v>0</v>
      </c>
      <c r="G26" s="187"/>
      <c r="H26" s="187">
        <f>+D26+E26-F26</f>
        <v>444159847</v>
      </c>
      <c r="I26" s="56"/>
      <c r="J26" s="389"/>
      <c r="K26" s="361"/>
      <c r="L26" s="361"/>
      <c r="M26" s="361"/>
      <c r="N26" s="361"/>
      <c r="O26" s="469"/>
    </row>
    <row r="27" spans="1:15" s="48" customFormat="1" ht="19.5" customHeight="1" x14ac:dyDescent="0.25">
      <c r="A27" s="57"/>
      <c r="B27" s="195"/>
      <c r="C27" s="186" t="s">
        <v>122</v>
      </c>
      <c r="D27" s="515">
        <v>0</v>
      </c>
      <c r="E27" s="187">
        <v>0</v>
      </c>
      <c r="F27" s="187">
        <v>0</v>
      </c>
      <c r="G27" s="187"/>
      <c r="H27" s="187">
        <f>+D27+E27-F27</f>
        <v>0</v>
      </c>
      <c r="I27" s="56"/>
      <c r="J27" s="389"/>
      <c r="K27" s="361"/>
      <c r="L27" s="361"/>
      <c r="M27" s="361"/>
      <c r="N27" s="361"/>
      <c r="O27" s="469"/>
    </row>
    <row r="28" spans="1:15" s="52" customFormat="1" ht="19.5" customHeight="1" x14ac:dyDescent="0.25">
      <c r="A28" s="57"/>
      <c r="B28" s="195"/>
      <c r="C28" s="195"/>
      <c r="D28" s="189"/>
      <c r="E28" s="187"/>
      <c r="F28" s="187"/>
      <c r="G28" s="187"/>
      <c r="H28" s="187"/>
      <c r="I28" s="56"/>
      <c r="J28" s="389"/>
      <c r="K28" s="361"/>
      <c r="L28" s="361"/>
      <c r="M28" s="361"/>
      <c r="N28" s="361"/>
      <c r="O28" s="469"/>
    </row>
    <row r="29" spans="1:15" s="52" customFormat="1" ht="19.5" customHeight="1" x14ac:dyDescent="0.25">
      <c r="A29" s="57"/>
      <c r="B29" s="197" t="s">
        <v>123</v>
      </c>
      <c r="C29" s="197"/>
      <c r="D29" s="515">
        <f>SUM(D25:D28)</f>
        <v>577682556</v>
      </c>
      <c r="E29" s="188">
        <f>SUM(E25:E28)</f>
        <v>1106379</v>
      </c>
      <c r="F29" s="188">
        <f>SUM(F25:F28)</f>
        <v>0</v>
      </c>
      <c r="G29" s="188">
        <f>SUM(G25:G28)</f>
        <v>0</v>
      </c>
      <c r="H29" s="188">
        <f>SUM(H25:H28)</f>
        <v>578788935</v>
      </c>
      <c r="I29" s="56"/>
      <c r="J29" s="389"/>
      <c r="K29" s="361"/>
      <c r="L29" s="361"/>
      <c r="M29" s="361"/>
      <c r="N29" s="361"/>
      <c r="O29" s="469"/>
    </row>
    <row r="30" spans="1:15" s="48" customFormat="1" ht="19.5" customHeight="1" x14ac:dyDescent="0.25">
      <c r="A30" s="57"/>
      <c r="B30" s="197"/>
      <c r="C30" s="197"/>
      <c r="D30" s="189"/>
      <c r="E30" s="187"/>
      <c r="F30" s="187"/>
      <c r="G30" s="187"/>
      <c r="H30" s="187"/>
      <c r="I30" s="56"/>
      <c r="J30" s="389"/>
      <c r="K30" s="361"/>
      <c r="L30" s="361"/>
      <c r="M30" s="361"/>
      <c r="N30" s="361"/>
      <c r="O30" s="469"/>
    </row>
    <row r="31" spans="1:15" s="48" customFormat="1" ht="19.5" customHeight="1" x14ac:dyDescent="0.25">
      <c r="A31" s="57"/>
      <c r="B31" s="195"/>
      <c r="C31" s="186" t="s">
        <v>124</v>
      </c>
      <c r="D31" s="188">
        <v>0</v>
      </c>
      <c r="E31" s="187">
        <v>0</v>
      </c>
      <c r="F31" s="187">
        <v>0</v>
      </c>
      <c r="G31" s="187"/>
      <c r="H31" s="187">
        <f>+D31+E31-F31</f>
        <v>0</v>
      </c>
      <c r="I31" s="56"/>
      <c r="J31" s="362"/>
      <c r="K31" s="361"/>
      <c r="L31" s="361"/>
      <c r="M31" s="361"/>
      <c r="N31" s="361"/>
      <c r="O31" s="469"/>
    </row>
    <row r="32" spans="1:15" s="52" customFormat="1" ht="19.5" customHeight="1" x14ac:dyDescent="0.25">
      <c r="A32" s="57"/>
      <c r="B32" s="195"/>
      <c r="C32" s="195"/>
      <c r="D32" s="187"/>
      <c r="E32" s="187"/>
      <c r="F32" s="187"/>
      <c r="G32" s="187"/>
      <c r="H32" s="187"/>
      <c r="I32" s="56"/>
      <c r="J32" s="362"/>
      <c r="K32" s="361"/>
      <c r="L32" s="361"/>
      <c r="M32" s="361"/>
      <c r="N32" s="361"/>
      <c r="O32" s="469"/>
    </row>
    <row r="33" spans="1:16" s="52" customFormat="1" ht="19.5" customHeight="1" x14ac:dyDescent="0.25">
      <c r="A33" s="57"/>
      <c r="B33" s="197" t="s">
        <v>125</v>
      </c>
      <c r="C33" s="197"/>
      <c r="D33" s="188">
        <f>SUM(D30:D31)</f>
        <v>0</v>
      </c>
      <c r="E33" s="188">
        <f>SUM(E30:E31)</f>
        <v>0</v>
      </c>
      <c r="F33" s="188">
        <f>SUM(F30:F31)</f>
        <v>0</v>
      </c>
      <c r="G33" s="193"/>
      <c r="H33" s="188">
        <f>SUM(H30:H31)</f>
        <v>0</v>
      </c>
      <c r="I33" s="56"/>
      <c r="J33" s="362"/>
      <c r="K33" s="361"/>
      <c r="L33" s="361"/>
      <c r="M33" s="361"/>
      <c r="N33" s="361"/>
      <c r="O33" s="469"/>
    </row>
    <row r="34" spans="1:16" s="48" customFormat="1" ht="19.5" customHeight="1" x14ac:dyDescent="0.25">
      <c r="A34" s="57"/>
      <c r="B34" s="186"/>
      <c r="C34" s="186"/>
      <c r="D34" s="196"/>
      <c r="E34" s="187"/>
      <c r="F34" s="187"/>
      <c r="G34" s="187"/>
      <c r="H34" s="187"/>
      <c r="I34" s="56"/>
      <c r="J34" s="362"/>
      <c r="K34" s="361"/>
      <c r="L34" s="361"/>
      <c r="M34" s="361"/>
      <c r="N34" s="361"/>
      <c r="O34" s="390"/>
    </row>
    <row r="35" spans="1:16" s="52" customFormat="1" ht="19.5" customHeight="1" x14ac:dyDescent="0.25">
      <c r="A35" s="57"/>
      <c r="B35" s="338" t="s">
        <v>126</v>
      </c>
      <c r="C35" s="339"/>
      <c r="D35" s="345">
        <f>+D23+D29+D33</f>
        <v>1022449199</v>
      </c>
      <c r="E35" s="345">
        <f>+E23+E29+E33</f>
        <v>3012219235</v>
      </c>
      <c r="F35" s="345">
        <f>+F23+F29+F33</f>
        <v>3416667549</v>
      </c>
      <c r="G35" s="345"/>
      <c r="H35" s="345">
        <f>+H23+H29+H33</f>
        <v>618000885</v>
      </c>
      <c r="I35" s="56"/>
      <c r="J35" s="471"/>
      <c r="K35" s="361"/>
      <c r="L35" s="361"/>
      <c r="M35" s="361"/>
      <c r="N35" s="361"/>
      <c r="O35" s="390"/>
    </row>
    <row r="36" spans="1:16" s="52" customFormat="1" ht="19.5" customHeight="1" x14ac:dyDescent="0.2">
      <c r="A36" s="57"/>
      <c r="B36" s="198"/>
      <c r="C36" s="198"/>
      <c r="D36" s="199"/>
      <c r="E36" s="200"/>
      <c r="F36" s="201"/>
      <c r="G36" s="201"/>
      <c r="H36" s="183"/>
      <c r="I36" s="56"/>
      <c r="J36" s="362"/>
      <c r="K36" s="361"/>
      <c r="L36" s="361"/>
      <c r="M36" s="361"/>
      <c r="N36" s="361"/>
      <c r="O36" s="390"/>
    </row>
    <row r="37" spans="1:16" s="48" customFormat="1" ht="19.5" customHeight="1" x14ac:dyDescent="0.2">
      <c r="A37" s="57"/>
      <c r="B37" s="202"/>
      <c r="C37" s="202"/>
      <c r="D37" s="199"/>
      <c r="E37" s="183"/>
      <c r="F37" s="183"/>
      <c r="G37" s="183"/>
      <c r="H37" s="183"/>
      <c r="I37" s="56"/>
      <c r="J37" s="362"/>
      <c r="K37" s="361"/>
      <c r="L37" s="361"/>
      <c r="M37" s="361"/>
      <c r="N37" s="361"/>
      <c r="O37" s="390"/>
    </row>
    <row r="38" spans="1:16" s="48" customFormat="1" ht="19.5" customHeight="1" x14ac:dyDescent="0.2">
      <c r="B38" s="338" t="s">
        <v>127</v>
      </c>
      <c r="C38" s="339"/>
      <c r="D38" s="203"/>
      <c r="E38" s="18"/>
      <c r="F38" s="18"/>
      <c r="G38" s="18"/>
      <c r="H38" s="18"/>
      <c r="I38" s="46"/>
      <c r="J38" s="362"/>
      <c r="K38" s="361"/>
      <c r="L38" s="361"/>
      <c r="M38" s="361"/>
      <c r="N38" s="361"/>
      <c r="O38" s="390"/>
    </row>
    <row r="39" spans="1:16" s="48" customFormat="1" ht="19.5" customHeight="1" x14ac:dyDescent="0.25">
      <c r="A39" s="57"/>
      <c r="B39" s="186"/>
      <c r="C39" s="186"/>
      <c r="D39" s="516"/>
      <c r="E39" s="187"/>
      <c r="F39" s="187"/>
      <c r="G39" s="187"/>
      <c r="H39" s="187"/>
      <c r="I39" s="113"/>
      <c r="J39" s="362"/>
      <c r="K39" s="361"/>
      <c r="L39" s="361"/>
      <c r="M39" s="187"/>
      <c r="N39" s="361"/>
      <c r="O39" s="561"/>
    </row>
    <row r="40" spans="1:16" s="48" customFormat="1" ht="19.5" customHeight="1" x14ac:dyDescent="0.25">
      <c r="A40" s="57"/>
      <c r="B40" s="186"/>
      <c r="C40" s="186" t="s">
        <v>128</v>
      </c>
      <c r="D40" s="515">
        <v>135214262</v>
      </c>
      <c r="E40" s="187">
        <v>3209957934</v>
      </c>
      <c r="F40" s="187">
        <f>3079913439+7337</f>
        <v>3079920776</v>
      </c>
      <c r="G40" s="187"/>
      <c r="H40" s="187">
        <f>+D40+F40-E40</f>
        <v>5177104</v>
      </c>
      <c r="I40" s="113"/>
      <c r="J40" s="471"/>
      <c r="K40" s="469"/>
      <c r="L40" s="469"/>
      <c r="M40" s="361"/>
      <c r="N40" s="361"/>
      <c r="O40" s="390"/>
    </row>
    <row r="41" spans="1:16" s="48" customFormat="1" ht="19.5" customHeight="1" x14ac:dyDescent="0.25">
      <c r="A41" s="57"/>
      <c r="B41" s="195"/>
      <c r="C41" s="186" t="s">
        <v>129</v>
      </c>
      <c r="D41" s="515">
        <v>65174309</v>
      </c>
      <c r="E41" s="187">
        <v>65610332</v>
      </c>
      <c r="F41" s="187">
        <v>436023</v>
      </c>
      <c r="G41" s="187"/>
      <c r="H41" s="187">
        <f>+D41+F41-E41</f>
        <v>0</v>
      </c>
      <c r="I41" s="113"/>
      <c r="J41" s="471"/>
      <c r="K41" s="387"/>
      <c r="L41" s="470"/>
      <c r="M41" s="46"/>
      <c r="N41" s="361"/>
      <c r="O41" s="469"/>
      <c r="P41" s="361"/>
    </row>
    <row r="42" spans="1:16" s="48" customFormat="1" ht="19.5" customHeight="1" x14ac:dyDescent="0.25">
      <c r="A42" s="57"/>
      <c r="B42" s="195"/>
      <c r="C42" s="186" t="s">
        <v>130</v>
      </c>
      <c r="D42" s="515">
        <v>21783436</v>
      </c>
      <c r="E42" s="187">
        <v>21890542</v>
      </c>
      <c r="F42" s="187">
        <v>10122799</v>
      </c>
      <c r="G42" s="187"/>
      <c r="H42" s="187">
        <f>+D42+F42-E42</f>
        <v>10015693</v>
      </c>
      <c r="I42" s="113"/>
      <c r="J42" s="471"/>
      <c r="K42" s="387"/>
      <c r="L42" s="470"/>
      <c r="M42" s="46"/>
      <c r="N42" s="361"/>
      <c r="O42" s="469"/>
      <c r="P42" s="361"/>
    </row>
    <row r="43" spans="1:16" s="48" customFormat="1" ht="19.5" customHeight="1" x14ac:dyDescent="0.25">
      <c r="A43" s="57"/>
      <c r="B43" s="195"/>
      <c r="C43" s="186" t="s">
        <v>131</v>
      </c>
      <c r="D43" s="515">
        <v>206008546</v>
      </c>
      <c r="E43" s="187">
        <f>199300270+24841606</f>
        <v>224141876</v>
      </c>
      <c r="F43" s="187">
        <f>65072182+184500</f>
        <v>65256682</v>
      </c>
      <c r="G43" s="187"/>
      <c r="H43" s="187">
        <f>+D43+F43-E43</f>
        <v>47123352</v>
      </c>
      <c r="I43" s="113"/>
      <c r="J43" s="471"/>
      <c r="K43" s="387"/>
      <c r="L43" s="470"/>
      <c r="M43" s="46"/>
      <c r="N43" s="361"/>
      <c r="O43" s="469"/>
      <c r="P43" s="361"/>
    </row>
    <row r="44" spans="1:16" s="60" customFormat="1" ht="19.5" customHeight="1" x14ac:dyDescent="0.25">
      <c r="A44" s="57"/>
      <c r="B44" s="195"/>
      <c r="C44" s="204"/>
      <c r="D44" s="515"/>
      <c r="E44" s="187"/>
      <c r="F44" s="187"/>
      <c r="G44" s="187"/>
      <c r="H44" s="187"/>
      <c r="I44" s="113"/>
      <c r="J44" s="362"/>
      <c r="K44" s="387"/>
      <c r="L44" s="470"/>
      <c r="M44" s="570"/>
      <c r="N44" s="361"/>
      <c r="O44" s="469"/>
      <c r="P44" s="361"/>
    </row>
    <row r="45" spans="1:16" s="57" customFormat="1" ht="19.5" customHeight="1" x14ac:dyDescent="0.25">
      <c r="B45" s="205" t="s">
        <v>132</v>
      </c>
      <c r="C45" s="205"/>
      <c r="D45" s="189">
        <f>SUM(D40:D43)</f>
        <v>428180553</v>
      </c>
      <c r="E45" s="189">
        <f>SUM(E40:E43)</f>
        <v>3521600684</v>
      </c>
      <c r="F45" s="189">
        <f>SUM(F40:F43)</f>
        <v>3155736280</v>
      </c>
      <c r="G45" s="189">
        <f>SUM(G40:G43)</f>
        <v>0</v>
      </c>
      <c r="H45" s="189">
        <f>SUM(H40:H43)</f>
        <v>62316149</v>
      </c>
      <c r="I45" s="113"/>
      <c r="J45" s="362"/>
      <c r="K45" s="387"/>
      <c r="L45" s="470"/>
      <c r="M45" s="255"/>
      <c r="N45" s="361"/>
      <c r="O45" s="469"/>
      <c r="P45" s="361"/>
    </row>
    <row r="46" spans="1:16" s="57" customFormat="1" ht="19.5" customHeight="1" x14ac:dyDescent="0.25">
      <c r="B46" s="195"/>
      <c r="C46" s="195"/>
      <c r="D46" s="187"/>
      <c r="E46" s="194"/>
      <c r="F46" s="187"/>
      <c r="G46" s="187"/>
      <c r="H46" s="187"/>
      <c r="I46" s="113"/>
      <c r="J46" s="362"/>
      <c r="K46" s="387"/>
      <c r="L46" s="470"/>
      <c r="M46" s="56"/>
      <c r="N46" s="361"/>
      <c r="O46" s="469"/>
      <c r="P46" s="361"/>
    </row>
    <row r="47" spans="1:16" s="57" customFormat="1" ht="19.5" customHeight="1" x14ac:dyDescent="0.25">
      <c r="B47" s="338" t="s">
        <v>133</v>
      </c>
      <c r="C47" s="339"/>
      <c r="D47" s="345">
        <f>+D45</f>
        <v>428180553</v>
      </c>
      <c r="E47" s="345">
        <f>+E45</f>
        <v>3521600684</v>
      </c>
      <c r="F47" s="345">
        <f>+F45</f>
        <v>3155736280</v>
      </c>
      <c r="G47" s="345"/>
      <c r="H47" s="345">
        <f>+H45</f>
        <v>62316149</v>
      </c>
      <c r="I47" s="56"/>
      <c r="J47" s="471"/>
      <c r="K47" s="470"/>
      <c r="L47" s="470"/>
      <c r="M47" s="470"/>
      <c r="N47" s="361"/>
      <c r="O47" s="469"/>
      <c r="P47" s="361"/>
    </row>
    <row r="48" spans="1:16" s="57" customFormat="1" ht="19.5" customHeight="1" x14ac:dyDescent="0.2">
      <c r="B48" s="83"/>
      <c r="C48" s="83"/>
      <c r="D48" s="206"/>
      <c r="E48" s="207"/>
      <c r="F48" s="207"/>
      <c r="G48" s="207"/>
      <c r="H48" s="207"/>
      <c r="I48" s="56"/>
      <c r="J48" s="362"/>
      <c r="K48" s="55"/>
      <c r="L48" s="471"/>
      <c r="M48" s="56"/>
      <c r="N48" s="361"/>
      <c r="O48" s="469"/>
      <c r="P48" s="361"/>
    </row>
    <row r="49" spans="1:16" s="48" customFormat="1" ht="19.5" hidden="1" customHeight="1" x14ac:dyDescent="0.2">
      <c r="A49" s="57"/>
      <c r="B49" s="202"/>
      <c r="C49" s="202"/>
      <c r="D49" s="199"/>
      <c r="E49" s="183"/>
      <c r="F49" s="183"/>
      <c r="G49" s="183"/>
      <c r="H49" s="183"/>
      <c r="I49" s="56"/>
      <c r="J49" s="362"/>
      <c r="K49" s="361"/>
      <c r="L49" s="361"/>
      <c r="M49" s="361"/>
      <c r="N49" s="361"/>
      <c r="O49" s="390"/>
    </row>
    <row r="50" spans="1:16" s="48" customFormat="1" ht="19.5" customHeight="1" x14ac:dyDescent="0.2">
      <c r="A50" s="57"/>
      <c r="B50" s="202"/>
      <c r="C50" s="202"/>
      <c r="D50" s="199"/>
      <c r="E50" s="183"/>
      <c r="F50" s="183"/>
      <c r="G50" s="183"/>
      <c r="H50" s="183"/>
      <c r="I50" s="56"/>
      <c r="J50" s="362"/>
      <c r="K50" s="361"/>
      <c r="L50" s="361"/>
      <c r="M50" s="361"/>
      <c r="N50" s="361"/>
      <c r="O50" s="390"/>
    </row>
    <row r="51" spans="1:16" s="48" customFormat="1" ht="19.5" customHeight="1" x14ac:dyDescent="0.2">
      <c r="B51" s="338" t="s">
        <v>134</v>
      </c>
      <c r="C51" s="339"/>
      <c r="D51" s="203"/>
      <c r="E51" s="18"/>
      <c r="F51" s="18"/>
      <c r="G51" s="18"/>
      <c r="H51" s="18"/>
      <c r="I51" s="46"/>
      <c r="J51" s="362"/>
      <c r="K51" s="361"/>
      <c r="L51" s="361"/>
      <c r="M51" s="361"/>
      <c r="N51" s="361"/>
      <c r="O51" s="390"/>
    </row>
    <row r="52" spans="1:16" s="48" customFormat="1" ht="19.5" customHeight="1" x14ac:dyDescent="0.25">
      <c r="A52" s="57"/>
      <c r="B52" s="186"/>
      <c r="C52" s="186"/>
      <c r="D52" s="516"/>
      <c r="E52" s="187"/>
      <c r="F52" s="187"/>
      <c r="G52" s="187"/>
      <c r="H52" s="187"/>
      <c r="I52" s="113"/>
      <c r="J52" s="362"/>
      <c r="K52" s="361"/>
      <c r="L52" s="361"/>
      <c r="M52" s="469"/>
      <c r="N52" s="469"/>
      <c r="O52" s="390"/>
      <c r="P52" s="387"/>
    </row>
    <row r="53" spans="1:16" s="48" customFormat="1" ht="19.5" customHeight="1" x14ac:dyDescent="0.25">
      <c r="A53" s="57"/>
      <c r="B53" s="186"/>
      <c r="C53" s="186" t="s">
        <v>105</v>
      </c>
      <c r="D53" s="515">
        <v>0</v>
      </c>
      <c r="E53" s="189">
        <v>0</v>
      </c>
      <c r="F53" s="187">
        <v>0</v>
      </c>
      <c r="G53" s="187"/>
      <c r="H53" s="187">
        <f>+D53+F53-E53</f>
        <v>0</v>
      </c>
      <c r="I53" s="113"/>
      <c r="J53" s="362"/>
      <c r="K53" s="361"/>
      <c r="L53" s="361"/>
      <c r="M53" s="469"/>
      <c r="N53" s="469"/>
      <c r="O53" s="390"/>
      <c r="P53" s="387"/>
    </row>
    <row r="54" spans="1:16" s="48" customFormat="1" ht="19.5" customHeight="1" x14ac:dyDescent="0.25">
      <c r="A54" s="57"/>
      <c r="B54" s="195"/>
      <c r="C54" s="186" t="s">
        <v>86</v>
      </c>
      <c r="D54" s="515">
        <v>577035241</v>
      </c>
      <c r="E54" s="189">
        <v>0</v>
      </c>
      <c r="F54" s="187">
        <v>0</v>
      </c>
      <c r="G54" s="187"/>
      <c r="H54" s="187">
        <f>+D54+F54-E54</f>
        <v>577035241</v>
      </c>
      <c r="I54" s="113"/>
      <c r="J54" s="362"/>
      <c r="K54" s="361"/>
      <c r="L54" s="238"/>
      <c r="M54" s="469"/>
      <c r="N54" s="390"/>
      <c r="O54" s="390"/>
      <c r="P54" s="387"/>
    </row>
    <row r="55" spans="1:16" s="48" customFormat="1" ht="19.5" customHeight="1" x14ac:dyDescent="0.25">
      <c r="A55" s="57"/>
      <c r="B55" s="195"/>
      <c r="C55" s="186" t="s">
        <v>135</v>
      </c>
      <c r="D55" s="515">
        <v>-276969415</v>
      </c>
      <c r="E55" s="189">
        <v>22815176</v>
      </c>
      <c r="F55" s="189">
        <v>0</v>
      </c>
      <c r="G55" s="187"/>
      <c r="H55" s="187">
        <f>+D55+F55-E55</f>
        <v>-299784591</v>
      </c>
      <c r="I55" s="113"/>
      <c r="J55" s="362"/>
      <c r="K55" s="361"/>
      <c r="L55" s="238"/>
      <c r="M55" s="469"/>
      <c r="N55" s="390"/>
      <c r="O55" s="390"/>
      <c r="P55" s="387"/>
    </row>
    <row r="56" spans="1:16" s="57" customFormat="1" ht="19.5" customHeight="1" x14ac:dyDescent="0.25">
      <c r="B56" s="195"/>
      <c r="C56" s="195"/>
      <c r="D56" s="187"/>
      <c r="E56" s="194"/>
      <c r="F56" s="187"/>
      <c r="G56" s="187"/>
      <c r="H56" s="187"/>
      <c r="I56" s="113"/>
      <c r="J56" s="362"/>
      <c r="K56" s="361"/>
      <c r="L56" s="238"/>
      <c r="M56" s="469"/>
      <c r="N56" s="390"/>
      <c r="O56" s="390"/>
      <c r="P56" s="484"/>
    </row>
    <row r="57" spans="1:16" s="48" customFormat="1" ht="19.5" customHeight="1" x14ac:dyDescent="0.25">
      <c r="A57" s="57"/>
      <c r="B57" s="338" t="s">
        <v>136</v>
      </c>
      <c r="C57" s="339"/>
      <c r="D57" s="345">
        <f>SUM(D53:D56)</f>
        <v>300065826</v>
      </c>
      <c r="E57" s="345">
        <f>SUM(E53:E56)</f>
        <v>22815176</v>
      </c>
      <c r="F57" s="345">
        <f>SUM(F53:F56)</f>
        <v>0</v>
      </c>
      <c r="G57" s="345">
        <f>SUM(G53:G56)</f>
        <v>0</v>
      </c>
      <c r="H57" s="345">
        <f>SUM(H53:H56)</f>
        <v>277250650</v>
      </c>
      <c r="I57" s="56"/>
      <c r="J57" s="46"/>
      <c r="K57" s="361"/>
      <c r="L57" s="238"/>
      <c r="M57" s="469"/>
      <c r="N57" s="390"/>
      <c r="O57" s="390"/>
      <c r="P57" s="387"/>
    </row>
    <row r="58" spans="1:16" s="57" customFormat="1" ht="19.5" customHeight="1" x14ac:dyDescent="0.2">
      <c r="B58" s="198"/>
      <c r="C58" s="198"/>
      <c r="D58" s="199"/>
      <c r="E58" s="183"/>
      <c r="F58" s="183"/>
      <c r="G58" s="183"/>
      <c r="H58" s="183"/>
      <c r="I58" s="56"/>
      <c r="J58" s="44"/>
      <c r="K58" s="361"/>
      <c r="L58" s="361"/>
      <c r="M58" s="469"/>
      <c r="N58" s="390"/>
      <c r="O58" s="390"/>
      <c r="P58" s="484"/>
    </row>
    <row r="59" spans="1:16" s="57" customFormat="1" ht="19.5" customHeight="1" x14ac:dyDescent="0.2">
      <c r="B59" s="198"/>
      <c r="C59" s="198"/>
      <c r="D59" s="199"/>
      <c r="E59" s="184"/>
      <c r="F59" s="183"/>
      <c r="G59" s="183"/>
      <c r="H59" s="184"/>
      <c r="I59" s="56"/>
      <c r="J59" s="44"/>
      <c r="K59" s="361"/>
      <c r="L59" s="361"/>
      <c r="M59" s="469"/>
      <c r="N59" s="390"/>
      <c r="O59" s="390"/>
      <c r="P59" s="484"/>
    </row>
    <row r="60" spans="1:16" s="48" customFormat="1" ht="19.5" customHeight="1" x14ac:dyDescent="0.2">
      <c r="B60" s="338" t="s">
        <v>137</v>
      </c>
      <c r="C60" s="339"/>
      <c r="D60" s="203"/>
      <c r="E60" s="18"/>
      <c r="F60" s="18"/>
      <c r="G60" s="18"/>
      <c r="H60" s="18"/>
      <c r="I60" s="46"/>
      <c r="J60" s="363"/>
      <c r="K60" s="361"/>
      <c r="L60" s="361"/>
      <c r="M60" s="469"/>
      <c r="N60" s="390"/>
      <c r="O60" s="390"/>
      <c r="P60" s="387"/>
    </row>
    <row r="61" spans="1:16" s="48" customFormat="1" ht="19.5" customHeight="1" x14ac:dyDescent="0.2">
      <c r="A61" s="57"/>
      <c r="B61" s="198"/>
      <c r="C61" s="198"/>
      <c r="D61" s="199"/>
      <c r="E61" s="162"/>
      <c r="F61" s="162"/>
      <c r="G61" s="162"/>
      <c r="H61" s="183"/>
      <c r="I61" s="56"/>
      <c r="J61" s="363"/>
      <c r="K61" s="361"/>
      <c r="L61" s="361"/>
      <c r="M61" s="469"/>
      <c r="N61" s="390"/>
      <c r="O61" s="390"/>
      <c r="P61" s="387"/>
    </row>
    <row r="62" spans="1:16" s="48" customFormat="1" ht="19.5" customHeight="1" x14ac:dyDescent="0.25">
      <c r="A62" s="57"/>
      <c r="B62" s="198"/>
      <c r="C62" s="186" t="s">
        <v>138</v>
      </c>
      <c r="D62" s="188">
        <v>295950329</v>
      </c>
      <c r="E62" s="189">
        <v>0</v>
      </c>
      <c r="F62" s="187">
        <v>183047603</v>
      </c>
      <c r="G62" s="187">
        <f t="shared" ref="G62:G67" si="0">+F62-E62</f>
        <v>183047603</v>
      </c>
      <c r="H62" s="187">
        <f t="shared" ref="H62:H67" si="1">+D62+F62-E62</f>
        <v>478997932</v>
      </c>
      <c r="I62" s="301" t="s">
        <v>690</v>
      </c>
      <c r="J62" s="363"/>
      <c r="K62" s="361"/>
      <c r="L62" s="361"/>
      <c r="M62" s="469"/>
      <c r="N62" s="390"/>
      <c r="O62" s="390"/>
      <c r="P62" s="387"/>
    </row>
    <row r="63" spans="1:16" s="48" customFormat="1" ht="19.5" customHeight="1" x14ac:dyDescent="0.25">
      <c r="A63" s="57"/>
      <c r="B63" s="27"/>
      <c r="C63" s="186" t="s">
        <v>36</v>
      </c>
      <c r="D63" s="188">
        <v>165299467</v>
      </c>
      <c r="E63" s="189">
        <v>0</v>
      </c>
      <c r="F63" s="187">
        <f>2407777-166666</f>
        <v>2241111</v>
      </c>
      <c r="G63" s="187">
        <f t="shared" si="0"/>
        <v>2241111</v>
      </c>
      <c r="H63" s="187">
        <f t="shared" si="1"/>
        <v>167540578</v>
      </c>
      <c r="I63" s="301" t="s">
        <v>690</v>
      </c>
      <c r="J63" s="363"/>
      <c r="K63" s="361"/>
      <c r="L63" s="361"/>
      <c r="M63" s="469"/>
      <c r="N63" s="390"/>
      <c r="O63" s="390"/>
      <c r="P63" s="387"/>
    </row>
    <row r="64" spans="1:16" s="57" customFormat="1" ht="19.5" customHeight="1" x14ac:dyDescent="0.25">
      <c r="B64" s="27"/>
      <c r="C64" s="186" t="s">
        <v>3</v>
      </c>
      <c r="D64" s="188">
        <v>2314438459</v>
      </c>
      <c r="E64" s="189">
        <v>0</v>
      </c>
      <c r="F64" s="187">
        <f>2767370955+21091124+33279627+197+166666</f>
        <v>2821908569</v>
      </c>
      <c r="G64" s="187">
        <f t="shared" si="0"/>
        <v>2821908569</v>
      </c>
      <c r="H64" s="187">
        <f t="shared" si="1"/>
        <v>5136347028</v>
      </c>
      <c r="I64" s="301"/>
      <c r="J64" s="364"/>
      <c r="K64" s="361"/>
      <c r="L64" s="361"/>
      <c r="M64" s="469"/>
      <c r="N64" s="390"/>
      <c r="O64" s="390"/>
      <c r="P64" s="484"/>
    </row>
    <row r="65" spans="1:16" s="57" customFormat="1" ht="19.5" customHeight="1" x14ac:dyDescent="0.25">
      <c r="B65" s="27"/>
      <c r="C65" s="186" t="s">
        <v>9</v>
      </c>
      <c r="D65" s="188">
        <v>0</v>
      </c>
      <c r="E65" s="189">
        <v>0</v>
      </c>
      <c r="F65" s="187">
        <v>0</v>
      </c>
      <c r="G65" s="187">
        <f t="shared" si="0"/>
        <v>0</v>
      </c>
      <c r="H65" s="187">
        <f t="shared" si="1"/>
        <v>0</v>
      </c>
      <c r="I65" s="56"/>
      <c r="J65" s="363"/>
      <c r="K65" s="361"/>
      <c r="L65" s="361"/>
      <c r="M65" s="469"/>
      <c r="N65" s="390"/>
      <c r="O65" s="390"/>
      <c r="P65" s="484"/>
    </row>
    <row r="66" spans="1:16" s="57" customFormat="1" ht="19.5" customHeight="1" x14ac:dyDescent="0.25">
      <c r="B66" s="198"/>
      <c r="C66" s="186" t="s">
        <v>139</v>
      </c>
      <c r="D66" s="188">
        <v>0</v>
      </c>
      <c r="E66" s="189">
        <v>0</v>
      </c>
      <c r="F66" s="187">
        <v>127022</v>
      </c>
      <c r="G66" s="187">
        <f t="shared" si="0"/>
        <v>127022</v>
      </c>
      <c r="H66" s="187">
        <f t="shared" si="1"/>
        <v>127022</v>
      </c>
      <c r="I66" s="56"/>
      <c r="J66" s="364"/>
      <c r="K66" s="361"/>
      <c r="L66" s="361"/>
      <c r="M66" s="469"/>
      <c r="N66" s="390"/>
      <c r="O66" s="390"/>
      <c r="P66" s="484"/>
    </row>
    <row r="67" spans="1:16" s="48" customFormat="1" ht="19.5" customHeight="1" x14ac:dyDescent="0.25">
      <c r="A67" s="57"/>
      <c r="B67" s="198"/>
      <c r="C67" s="186" t="s">
        <v>11</v>
      </c>
      <c r="D67" s="188">
        <v>4396897</v>
      </c>
      <c r="E67" s="189">
        <v>0</v>
      </c>
      <c r="F67" s="187">
        <f>7347889-127022</f>
        <v>7220867</v>
      </c>
      <c r="G67" s="187">
        <f t="shared" si="0"/>
        <v>7220867</v>
      </c>
      <c r="H67" s="187">
        <f t="shared" si="1"/>
        <v>11617764</v>
      </c>
      <c r="I67" s="301" t="s">
        <v>690</v>
      </c>
      <c r="J67" s="363"/>
      <c r="K67" s="361"/>
      <c r="L67" s="361"/>
      <c r="M67" s="469"/>
      <c r="N67" s="390"/>
      <c r="O67" s="390"/>
      <c r="P67" s="387"/>
    </row>
    <row r="68" spans="1:16" ht="19.5" customHeight="1" x14ac:dyDescent="0.25">
      <c r="A68" s="29"/>
      <c r="B68" s="27"/>
      <c r="C68" s="195"/>
      <c r="D68" s="191"/>
      <c r="E68" s="187"/>
      <c r="F68" s="187"/>
      <c r="G68" s="187"/>
      <c r="H68" s="187"/>
      <c r="I68" s="29"/>
      <c r="J68" s="365"/>
      <c r="M68" s="455"/>
      <c r="N68" s="455"/>
      <c r="P68" s="377"/>
    </row>
    <row r="69" spans="1:16" ht="19.5" customHeight="1" x14ac:dyDescent="0.25">
      <c r="A69" s="29"/>
      <c r="B69" s="338" t="s">
        <v>23</v>
      </c>
      <c r="C69" s="339"/>
      <c r="D69" s="345">
        <f>SUM(D62:D67)</f>
        <v>2780085152</v>
      </c>
      <c r="E69" s="345">
        <f>SUM(E62:E67)</f>
        <v>0</v>
      </c>
      <c r="F69" s="345">
        <f>SUM(F62:F68)</f>
        <v>3014545172</v>
      </c>
      <c r="G69" s="345"/>
      <c r="H69" s="345">
        <f>SUM(H62:H67)</f>
        <v>5794630324</v>
      </c>
      <c r="I69" s="29"/>
      <c r="J69" s="365"/>
      <c r="L69" s="455"/>
      <c r="M69" s="455"/>
      <c r="N69" s="483"/>
      <c r="P69" s="377"/>
    </row>
    <row r="70" spans="1:16" ht="19.5" customHeight="1" x14ac:dyDescent="0.2">
      <c r="A70" s="29"/>
      <c r="B70" s="208"/>
      <c r="C70" s="208"/>
      <c r="D70" s="201"/>
      <c r="E70" s="201"/>
      <c r="F70" s="201"/>
      <c r="G70" s="201"/>
      <c r="H70" s="201"/>
      <c r="I70" s="29"/>
      <c r="J70" s="365"/>
      <c r="M70" s="455"/>
      <c r="N70" s="483"/>
      <c r="P70" s="377"/>
    </row>
    <row r="71" spans="1:16" ht="19.5" customHeight="1" x14ac:dyDescent="0.2">
      <c r="A71" s="29"/>
      <c r="B71" s="27"/>
      <c r="C71" s="27"/>
      <c r="D71" s="209"/>
      <c r="E71" s="183"/>
      <c r="F71" s="183"/>
      <c r="G71" s="183"/>
      <c r="H71" s="183"/>
      <c r="I71" s="29"/>
      <c r="J71" s="365"/>
      <c r="M71" s="455"/>
      <c r="N71" s="483"/>
      <c r="P71" s="377"/>
    </row>
    <row r="72" spans="1:16" s="19" customFormat="1" ht="19.5" customHeight="1" x14ac:dyDescent="0.25">
      <c r="B72" s="338" t="s">
        <v>140</v>
      </c>
      <c r="C72" s="339"/>
      <c r="D72" s="210"/>
      <c r="E72" s="18"/>
      <c r="F72" s="18"/>
      <c r="G72" s="18"/>
      <c r="H72" s="18"/>
      <c r="J72" s="365"/>
      <c r="K72" s="360"/>
      <c r="L72" s="360"/>
      <c r="M72" s="455"/>
      <c r="N72" s="483"/>
      <c r="O72" s="483"/>
      <c r="P72" s="381"/>
    </row>
    <row r="73" spans="1:16" ht="19.5" customHeight="1" x14ac:dyDescent="0.2">
      <c r="A73" s="29"/>
      <c r="B73" s="27"/>
      <c r="C73" s="27"/>
      <c r="D73" s="209"/>
      <c r="E73" s="183"/>
      <c r="F73" s="183"/>
      <c r="G73" s="183"/>
      <c r="H73" s="183"/>
      <c r="I73" s="29"/>
      <c r="J73" s="365"/>
      <c r="M73" s="455"/>
      <c r="N73" s="483"/>
      <c r="P73" s="377"/>
    </row>
    <row r="74" spans="1:16" ht="19.5" customHeight="1" x14ac:dyDescent="0.25">
      <c r="A74" s="29"/>
      <c r="B74" s="211"/>
      <c r="C74" s="186" t="s">
        <v>13</v>
      </c>
      <c r="D74" s="188">
        <v>2163094552</v>
      </c>
      <c r="E74" s="187">
        <v>2880820804</v>
      </c>
      <c r="F74" s="187">
        <v>0</v>
      </c>
      <c r="G74" s="187">
        <f t="shared" ref="G74:G79" si="2">+E74-F74</f>
        <v>2880820804</v>
      </c>
      <c r="H74" s="187">
        <f t="shared" ref="H74:H79" si="3">+D74+E74-F74</f>
        <v>5043915356</v>
      </c>
      <c r="I74" s="29"/>
      <c r="J74" s="365"/>
      <c r="M74" s="455"/>
      <c r="N74" s="483"/>
      <c r="P74" s="381"/>
    </row>
    <row r="75" spans="1:16" ht="19.5" customHeight="1" x14ac:dyDescent="0.25">
      <c r="A75" s="29"/>
      <c r="B75" s="211"/>
      <c r="C75" s="186" t="s">
        <v>19</v>
      </c>
      <c r="D75" s="188">
        <v>50301803</v>
      </c>
      <c r="E75" s="187">
        <f>26848141-13542</f>
        <v>26834599</v>
      </c>
      <c r="F75" s="187">
        <v>0</v>
      </c>
      <c r="G75" s="187">
        <f t="shared" si="2"/>
        <v>26834599</v>
      </c>
      <c r="H75" s="187">
        <f t="shared" si="3"/>
        <v>77136402</v>
      </c>
      <c r="I75" s="29"/>
      <c r="J75" s="365"/>
      <c r="M75" s="455"/>
      <c r="N75" s="483"/>
      <c r="P75" s="377"/>
    </row>
    <row r="76" spans="1:16" ht="19.5" customHeight="1" x14ac:dyDescent="0.25">
      <c r="A76" s="29"/>
      <c r="B76" s="212"/>
      <c r="C76" s="186" t="s">
        <v>20</v>
      </c>
      <c r="D76" s="188">
        <v>103449105</v>
      </c>
      <c r="E76" s="187">
        <v>59312765</v>
      </c>
      <c r="F76" s="187">
        <v>0</v>
      </c>
      <c r="G76" s="187">
        <f t="shared" si="2"/>
        <v>59312765</v>
      </c>
      <c r="H76" s="187">
        <f t="shared" si="3"/>
        <v>162761870</v>
      </c>
      <c r="I76" s="157"/>
      <c r="M76" s="455"/>
      <c r="N76" s="483"/>
      <c r="P76" s="377"/>
    </row>
    <row r="77" spans="1:16" ht="19.5" customHeight="1" x14ac:dyDescent="0.25">
      <c r="A77" s="29"/>
      <c r="B77" s="27"/>
      <c r="C77" s="186" t="s">
        <v>87</v>
      </c>
      <c r="D77" s="188">
        <v>169036872</v>
      </c>
      <c r="E77" s="187">
        <v>63345738</v>
      </c>
      <c r="F77" s="187">
        <v>0</v>
      </c>
      <c r="G77" s="187">
        <f t="shared" si="2"/>
        <v>63345738</v>
      </c>
      <c r="H77" s="187">
        <f t="shared" si="3"/>
        <v>232382610</v>
      </c>
      <c r="I77" s="29"/>
      <c r="M77" s="455"/>
      <c r="N77" s="483"/>
      <c r="P77" s="377"/>
    </row>
    <row r="78" spans="1:16" ht="19.5" customHeight="1" x14ac:dyDescent="0.25">
      <c r="A78" s="29"/>
      <c r="B78" s="211"/>
      <c r="C78" s="186" t="s">
        <v>86</v>
      </c>
      <c r="D78" s="188">
        <v>0</v>
      </c>
      <c r="E78" s="187">
        <v>0</v>
      </c>
      <c r="F78" s="187">
        <v>0</v>
      </c>
      <c r="G78" s="187">
        <f t="shared" si="2"/>
        <v>0</v>
      </c>
      <c r="H78" s="187">
        <f t="shared" si="3"/>
        <v>0</v>
      </c>
      <c r="I78" s="29"/>
    </row>
    <row r="79" spans="1:16" ht="19.5" customHeight="1" x14ac:dyDescent="0.25">
      <c r="A79" s="29"/>
      <c r="B79" s="211"/>
      <c r="C79" s="186" t="s">
        <v>88</v>
      </c>
      <c r="D79" s="188">
        <v>0</v>
      </c>
      <c r="E79" s="189">
        <v>0</v>
      </c>
      <c r="F79" s="187">
        <v>0</v>
      </c>
      <c r="G79" s="187">
        <f t="shared" si="2"/>
        <v>0</v>
      </c>
      <c r="H79" s="187">
        <f t="shared" si="3"/>
        <v>0</v>
      </c>
      <c r="I79" s="29"/>
    </row>
    <row r="80" spans="1:16" ht="19.5" customHeight="1" x14ac:dyDescent="0.2">
      <c r="A80" s="29"/>
      <c r="B80" s="27"/>
      <c r="C80" s="211"/>
      <c r="D80" s="79"/>
      <c r="E80" s="162"/>
      <c r="F80" s="183"/>
      <c r="G80" s="183"/>
      <c r="H80" s="183"/>
      <c r="I80" s="29"/>
    </row>
    <row r="81" spans="1:14" ht="19.5" customHeight="1" x14ac:dyDescent="0.25">
      <c r="A81" s="29"/>
      <c r="B81" s="338" t="s">
        <v>21</v>
      </c>
      <c r="C81" s="339"/>
      <c r="D81" s="345">
        <f>+SUM(D74:D79)</f>
        <v>2485882332</v>
      </c>
      <c r="E81" s="345">
        <f>+SUM(E74:E79)</f>
        <v>3030313906</v>
      </c>
      <c r="F81" s="345">
        <f>+SUM(F74:F79)</f>
        <v>0</v>
      </c>
      <c r="G81" s="345"/>
      <c r="H81" s="345">
        <f>+SUM(H74:H79)</f>
        <v>5516196238</v>
      </c>
      <c r="I81" s="29"/>
    </row>
    <row r="82" spans="1:14" ht="19.5" customHeight="1" x14ac:dyDescent="0.2">
      <c r="A82" s="29"/>
      <c r="B82" s="27"/>
      <c r="C82" s="211"/>
      <c r="D82" s="79"/>
      <c r="E82" s="162"/>
      <c r="F82" s="183"/>
      <c r="G82" s="183"/>
      <c r="H82" s="183"/>
      <c r="I82" s="29"/>
      <c r="L82" s="455"/>
      <c r="M82" s="455"/>
      <c r="N82" s="483"/>
    </row>
    <row r="83" spans="1:14" ht="19.5" customHeight="1" x14ac:dyDescent="0.2">
      <c r="A83" s="29"/>
      <c r="B83" s="212"/>
      <c r="C83" s="212"/>
      <c r="D83" s="199"/>
      <c r="E83" s="213"/>
      <c r="F83" s="183"/>
      <c r="G83" s="183"/>
      <c r="H83" s="184"/>
      <c r="I83" s="29"/>
      <c r="L83" s="455"/>
      <c r="M83" s="455"/>
      <c r="N83" s="483"/>
    </row>
    <row r="84" spans="1:14" ht="19.5" customHeight="1" x14ac:dyDescent="0.25">
      <c r="A84" s="29"/>
      <c r="B84" s="338" t="s">
        <v>141</v>
      </c>
      <c r="C84" s="339"/>
      <c r="D84" s="346">
        <f>SUM(D35+D81)</f>
        <v>3508331531</v>
      </c>
      <c r="E84" s="346">
        <f>SUM(E35+E47+E57+E69+E81)</f>
        <v>9586949001</v>
      </c>
      <c r="F84" s="215"/>
      <c r="G84" s="215"/>
      <c r="H84" s="346">
        <f>SUM(H35+H81)</f>
        <v>6134197123</v>
      </c>
      <c r="I84" s="29"/>
      <c r="L84" s="455"/>
      <c r="M84" s="455"/>
      <c r="N84" s="483"/>
    </row>
    <row r="85" spans="1:14" ht="19.5" customHeight="1" x14ac:dyDescent="0.25">
      <c r="A85" s="29"/>
      <c r="B85" s="338" t="s">
        <v>142</v>
      </c>
      <c r="C85" s="339"/>
      <c r="D85" s="346">
        <f>SUM(D47+D57+D69)</f>
        <v>3508331531</v>
      </c>
      <c r="E85" s="216"/>
      <c r="F85" s="346">
        <f>SUM(F35+F47+F57+F69+F81)</f>
        <v>9586949001</v>
      </c>
      <c r="G85" s="214"/>
      <c r="H85" s="346">
        <f>SUM(H47+H57+H69)</f>
        <v>6134197123</v>
      </c>
      <c r="I85" s="29"/>
      <c r="L85" s="455"/>
      <c r="M85" s="455"/>
      <c r="N85" s="483"/>
    </row>
    <row r="86" spans="1:14" ht="19.5" customHeight="1" x14ac:dyDescent="0.2">
      <c r="A86" s="29"/>
      <c r="B86" s="630" t="s">
        <v>941</v>
      </c>
      <c r="C86" s="630"/>
      <c r="D86" s="630"/>
      <c r="E86" s="630"/>
      <c r="F86" s="630"/>
      <c r="G86" s="630"/>
      <c r="H86" s="630"/>
      <c r="I86" s="29"/>
      <c r="L86" s="455"/>
      <c r="M86" s="455"/>
      <c r="N86" s="483"/>
    </row>
    <row r="87" spans="1:14" ht="19.5" customHeight="1" x14ac:dyDescent="0.2">
      <c r="A87" s="29"/>
      <c r="B87" s="630"/>
      <c r="C87" s="630"/>
      <c r="D87" s="630"/>
      <c r="E87" s="630"/>
      <c r="F87" s="630"/>
      <c r="G87" s="630"/>
      <c r="H87" s="630"/>
      <c r="I87" s="29"/>
      <c r="L87" s="455"/>
      <c r="M87" s="455"/>
      <c r="N87" s="483"/>
    </row>
    <row r="88" spans="1:14" ht="19.5" customHeight="1" x14ac:dyDescent="0.2">
      <c r="A88" s="29"/>
      <c r="C88" s="27"/>
      <c r="D88" s="183"/>
      <c r="E88" s="375"/>
      <c r="F88" s="375"/>
      <c r="G88" s="27"/>
      <c r="H88" s="375"/>
      <c r="I88" s="29"/>
      <c r="K88" s="552"/>
      <c r="L88" s="455"/>
      <c r="M88" s="455"/>
      <c r="N88" s="483"/>
    </row>
    <row r="89" spans="1:14" ht="19.5" customHeight="1" x14ac:dyDescent="0.2">
      <c r="A89" s="29"/>
      <c r="B89" s="27"/>
      <c r="C89" s="27"/>
      <c r="D89" s="375"/>
      <c r="E89" s="375"/>
      <c r="F89" s="375"/>
      <c r="G89" s="27"/>
      <c r="H89" s="550"/>
      <c r="I89" s="29"/>
      <c r="L89" s="455"/>
      <c r="M89" s="455"/>
      <c r="N89" s="483"/>
    </row>
    <row r="90" spans="1:14" ht="15.75" customHeight="1" x14ac:dyDescent="0.2">
      <c r="A90" s="29"/>
      <c r="B90" s="27"/>
      <c r="C90" s="27"/>
      <c r="D90" s="375"/>
      <c r="E90" s="379"/>
      <c r="F90" s="379"/>
      <c r="G90" s="27"/>
      <c r="H90" s="550"/>
      <c r="I90" s="29"/>
      <c r="L90" s="455"/>
      <c r="M90" s="455"/>
      <c r="N90" s="483"/>
    </row>
    <row r="91" spans="1:14" ht="15.75" customHeight="1" x14ac:dyDescent="0.2">
      <c r="B91" s="36"/>
      <c r="C91" s="36"/>
      <c r="D91" s="376"/>
      <c r="E91" s="379"/>
      <c r="F91" s="379"/>
      <c r="G91" s="36"/>
      <c r="H91" s="551"/>
    </row>
    <row r="92" spans="1:14" ht="15.75" customHeight="1" x14ac:dyDescent="0.2">
      <c r="B92" s="36"/>
      <c r="C92" s="36"/>
      <c r="D92" s="376"/>
      <c r="E92" s="379"/>
      <c r="F92" s="379"/>
      <c r="G92" s="36"/>
      <c r="H92" s="551"/>
    </row>
    <row r="93" spans="1:14" ht="15.75" customHeight="1" x14ac:dyDescent="0.2">
      <c r="B93" s="36"/>
      <c r="C93" s="36"/>
      <c r="D93" s="376"/>
      <c r="E93" s="379"/>
      <c r="F93" s="379"/>
      <c r="G93" s="36"/>
      <c r="H93" s="551"/>
    </row>
    <row r="94" spans="1:14" ht="15.75" customHeight="1" x14ac:dyDescent="0.2">
      <c r="B94" s="36"/>
      <c r="C94" s="36"/>
      <c r="D94" s="376"/>
      <c r="E94" s="379"/>
      <c r="F94" s="379"/>
      <c r="G94" s="36"/>
      <c r="H94" s="36"/>
    </row>
    <row r="95" spans="1:14" ht="15.75" customHeight="1" x14ac:dyDescent="0.2">
      <c r="D95" s="377"/>
      <c r="E95" s="378"/>
      <c r="F95" s="379"/>
      <c r="H95" s="377"/>
      <c r="I95" s="377"/>
    </row>
    <row r="96" spans="1:14" ht="15.75" customHeight="1" x14ac:dyDescent="0.2">
      <c r="D96" s="377"/>
      <c r="E96" s="378"/>
      <c r="F96" s="379"/>
      <c r="H96" s="377"/>
      <c r="I96" s="377"/>
    </row>
    <row r="97" spans="4:9" ht="15.75" customHeight="1" x14ac:dyDescent="0.2">
      <c r="D97" s="377"/>
      <c r="E97" s="379"/>
      <c r="F97" s="379"/>
      <c r="H97" s="377"/>
      <c r="I97" s="377"/>
    </row>
    <row r="98" spans="4:9" ht="15.75" customHeight="1" x14ac:dyDescent="0.2">
      <c r="D98" s="377"/>
      <c r="E98" s="378"/>
      <c r="F98" s="378"/>
      <c r="H98" s="377"/>
      <c r="I98" s="377"/>
    </row>
    <row r="99" spans="4:9" ht="15.75" customHeight="1" x14ac:dyDescent="0.2">
      <c r="D99" s="377"/>
      <c r="E99" s="377"/>
      <c r="F99" s="377"/>
      <c r="H99" s="377"/>
      <c r="I99" s="377"/>
    </row>
    <row r="100" spans="4:9" ht="15.75" customHeight="1" x14ac:dyDescent="0.2">
      <c r="D100" s="377"/>
      <c r="E100" s="377"/>
      <c r="F100" s="377"/>
      <c r="H100" s="377"/>
      <c r="I100" s="377"/>
    </row>
    <row r="101" spans="4:9" ht="15.75" customHeight="1" x14ac:dyDescent="0.2">
      <c r="D101" s="377"/>
      <c r="E101" s="377"/>
      <c r="F101" s="377"/>
      <c r="H101" s="377"/>
      <c r="I101" s="377"/>
    </row>
    <row r="102" spans="4:9" ht="15.75" customHeight="1" x14ac:dyDescent="0.2">
      <c r="D102" s="377"/>
      <c r="E102" s="377"/>
      <c r="F102" s="377"/>
      <c r="H102" s="377"/>
      <c r="I102" s="377"/>
    </row>
    <row r="103" spans="4:9" ht="15.75" customHeight="1" x14ac:dyDescent="0.2">
      <c r="H103" s="377"/>
      <c r="I103" s="377"/>
    </row>
    <row r="104" spans="4:9" ht="15.75" customHeight="1" x14ac:dyDescent="0.2">
      <c r="H104" s="377"/>
      <c r="I104" s="377"/>
    </row>
  </sheetData>
  <mergeCells count="7">
    <mergeCell ref="B86:H87"/>
    <mergeCell ref="A3:I3"/>
    <mergeCell ref="A4:I4"/>
    <mergeCell ref="A5:H5"/>
    <mergeCell ref="D12:D13"/>
    <mergeCell ref="E12:F12"/>
    <mergeCell ref="H12:H13"/>
  </mergeCells>
  <phoneticPr fontId="10" type="noConversion"/>
  <printOptions horizontalCentered="1" verticalCentered="1"/>
  <pageMargins left="0.78740157480314965" right="0.78740157480314965" top="0.59055118110236227" bottom="0.59055118110236227" header="0" footer="0"/>
  <pageSetup scale="43" orientation="portrait" horizontalDpi="300" verticalDpi="300" r:id="rId1"/>
  <headerFooter alignWithMargins="0">
    <oddFooter>&amp;R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18"/>
  <sheetViews>
    <sheetView tabSelected="1" zoomScale="50" zoomScaleNormal="50" zoomScaleSheetLayoutView="70" workbookViewId="0">
      <selection activeCell="V36" sqref="V36:V37"/>
    </sheetView>
  </sheetViews>
  <sheetFormatPr baseColWidth="10" defaultRowHeight="15.75" customHeight="1" x14ac:dyDescent="0.2"/>
  <cols>
    <col min="1" max="1" width="5.140625" style="65" customWidth="1"/>
    <col min="2" max="2" width="14.28515625" style="65" customWidth="1"/>
    <col min="3" max="3" width="45.140625" style="65" customWidth="1"/>
    <col min="4" max="5" width="15" style="65" customWidth="1"/>
    <col min="6" max="6" width="15.85546875" style="65" bestFit="1" customWidth="1"/>
    <col min="7" max="7" width="5.140625" style="65" customWidth="1"/>
    <col min="8" max="9" width="7" style="65" customWidth="1"/>
    <col min="10" max="10" width="45.140625" style="65" customWidth="1"/>
    <col min="11" max="12" width="15" style="65" customWidth="1"/>
    <col min="13" max="13" width="15.85546875" style="65" bestFit="1" customWidth="1"/>
    <col min="14" max="14" width="5.140625" style="65" customWidth="1"/>
    <col min="15" max="16384" width="11.42578125" style="65"/>
  </cols>
  <sheetData>
    <row r="1" spans="1:14" ht="15" customHeight="1" x14ac:dyDescent="0.2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</row>
    <row r="2" spans="1:14" ht="25.5" customHeight="1" x14ac:dyDescent="0.2">
      <c r="A2" s="626" t="s">
        <v>7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</row>
    <row r="3" spans="1:14" ht="25.5" customHeight="1" x14ac:dyDescent="0.2">
      <c r="A3" s="627" t="s">
        <v>106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</row>
    <row r="4" spans="1:14" ht="15" customHeight="1" x14ac:dyDescent="0.2">
      <c r="A4" s="628"/>
      <c r="B4" s="628"/>
      <c r="C4" s="628"/>
      <c r="D4" s="628"/>
      <c r="E4" s="628"/>
      <c r="F4" s="628"/>
      <c r="G4" s="628"/>
      <c r="H4" s="628"/>
      <c r="I4" s="628"/>
      <c r="J4" s="628"/>
      <c r="K4" s="628"/>
      <c r="L4" s="628"/>
      <c r="M4" s="628"/>
      <c r="N4" s="66"/>
    </row>
    <row r="5" spans="1:14" ht="15" customHeight="1" x14ac:dyDescent="0.2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</row>
    <row r="6" spans="1:14" ht="15" customHeight="1" x14ac:dyDescent="0.2">
      <c r="A6" s="68"/>
      <c r="B6" s="69" t="s">
        <v>1004</v>
      </c>
      <c r="C6" s="69"/>
      <c r="D6" s="69"/>
      <c r="E6" s="69"/>
      <c r="F6" s="70"/>
      <c r="G6" s="70"/>
      <c r="H6" s="70"/>
      <c r="I6" s="70"/>
      <c r="J6" s="70"/>
      <c r="K6" s="70"/>
      <c r="L6" s="70"/>
      <c r="M6" s="70"/>
      <c r="N6" s="68"/>
    </row>
    <row r="7" spans="1:14" ht="15" customHeight="1" x14ac:dyDescent="0.2">
      <c r="A7" s="68"/>
      <c r="B7" s="69" t="s">
        <v>1005</v>
      </c>
      <c r="C7" s="69"/>
      <c r="D7" s="69"/>
      <c r="E7" s="69"/>
      <c r="F7" s="70"/>
      <c r="G7" s="70"/>
      <c r="H7" s="70"/>
      <c r="I7" s="70"/>
      <c r="J7" s="70"/>
      <c r="K7" s="70"/>
      <c r="L7" s="70"/>
      <c r="M7" s="70"/>
      <c r="N7" s="68"/>
    </row>
    <row r="8" spans="1:14" ht="15" customHeight="1" x14ac:dyDescent="0.2">
      <c r="A8" s="68"/>
      <c r="B8" s="69" t="s">
        <v>8</v>
      </c>
      <c r="C8" s="69"/>
      <c r="D8" s="69"/>
      <c r="E8" s="69"/>
      <c r="F8" s="70"/>
      <c r="G8" s="70"/>
      <c r="H8" s="70"/>
      <c r="I8" s="70"/>
      <c r="J8" s="70"/>
      <c r="K8" s="70"/>
      <c r="L8" s="70"/>
      <c r="M8" s="70"/>
      <c r="N8" s="68"/>
    </row>
    <row r="9" spans="1:14" ht="15" customHeight="1" x14ac:dyDescent="0.2">
      <c r="A9" s="68"/>
      <c r="B9" s="69"/>
      <c r="C9" s="69"/>
      <c r="D9" s="69"/>
      <c r="E9" s="69"/>
      <c r="F9" s="70"/>
      <c r="G9" s="70"/>
      <c r="H9" s="70"/>
      <c r="I9" s="70"/>
      <c r="J9" s="70"/>
      <c r="K9" s="70"/>
      <c r="L9" s="70"/>
      <c r="M9" s="70"/>
      <c r="N9" s="68"/>
    </row>
    <row r="10" spans="1:14" ht="15" customHeight="1" x14ac:dyDescent="0.2">
      <c r="A10" s="68"/>
      <c r="B10" s="69"/>
      <c r="C10" s="69"/>
      <c r="D10" s="69"/>
      <c r="E10" s="69"/>
      <c r="F10" s="70"/>
      <c r="G10" s="70"/>
      <c r="H10" s="70"/>
      <c r="I10" s="70"/>
      <c r="J10" s="70"/>
      <c r="K10" s="70"/>
      <c r="L10" s="70"/>
      <c r="M10" s="70"/>
      <c r="N10" s="68"/>
    </row>
    <row r="11" spans="1:14" s="92" customFormat="1" ht="15" customHeight="1" x14ac:dyDescent="0.25">
      <c r="B11" s="633"/>
      <c r="C11" s="633"/>
      <c r="D11" s="633"/>
      <c r="E11" s="633"/>
      <c r="F11" s="633"/>
      <c r="G11" s="38"/>
      <c r="H11" s="633"/>
      <c r="I11" s="633"/>
      <c r="J11" s="633"/>
      <c r="K11" s="633"/>
      <c r="L11" s="633"/>
      <c r="M11" s="633"/>
    </row>
    <row r="12" spans="1:14" s="92" customFormat="1" ht="15" customHeight="1" x14ac:dyDescent="0.25">
      <c r="B12" s="633"/>
      <c r="C12" s="633"/>
      <c r="D12" s="633"/>
      <c r="E12" s="633"/>
      <c r="F12" s="633"/>
      <c r="G12" s="38"/>
      <c r="H12" s="633"/>
      <c r="I12" s="633"/>
      <c r="J12" s="633"/>
      <c r="K12" s="633"/>
      <c r="L12" s="633"/>
      <c r="M12" s="633"/>
    </row>
    <row r="13" spans="1:14" s="92" customFormat="1" ht="15" customHeight="1" x14ac:dyDescent="0.2"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</row>
    <row r="14" spans="1:14" s="92" customFormat="1" ht="15" customHeight="1" x14ac:dyDescent="0.2">
      <c r="B14" s="124"/>
      <c r="C14" s="124"/>
      <c r="D14" s="124"/>
      <c r="E14" s="586"/>
      <c r="F14" s="587"/>
      <c r="G14" s="28"/>
      <c r="H14" s="124"/>
      <c r="I14" s="124"/>
      <c r="J14" s="124"/>
      <c r="K14" s="587"/>
      <c r="L14" s="586"/>
      <c r="M14" s="587"/>
    </row>
    <row r="15" spans="1:14" s="92" customFormat="1" ht="15" customHeight="1" x14ac:dyDescent="0.2">
      <c r="B15" s="588"/>
      <c r="C15" s="588"/>
      <c r="D15" s="588"/>
      <c r="E15" s="589"/>
      <c r="F15" s="589"/>
      <c r="G15" s="28"/>
      <c r="H15" s="124"/>
      <c r="I15" s="124"/>
      <c r="J15" s="124"/>
      <c r="K15" s="586"/>
      <c r="L15" s="586"/>
      <c r="M15" s="586"/>
    </row>
    <row r="16" spans="1:14" s="92" customFormat="1" ht="15" customHeight="1" x14ac:dyDescent="0.2">
      <c r="B16" s="58"/>
      <c r="C16" s="58"/>
      <c r="D16" s="58"/>
      <c r="E16" s="590"/>
      <c r="F16" s="586"/>
      <c r="G16" s="28"/>
      <c r="I16" s="58"/>
      <c r="L16" s="590"/>
    </row>
    <row r="17" spans="2:13" s="92" customFormat="1" ht="15" customHeight="1" x14ac:dyDescent="0.2">
      <c r="B17" s="58"/>
      <c r="C17" s="58"/>
      <c r="D17" s="58"/>
      <c r="E17" s="590"/>
      <c r="F17" s="586"/>
      <c r="G17" s="28"/>
      <c r="H17" s="58"/>
      <c r="I17" s="58"/>
      <c r="J17" s="58"/>
      <c r="K17" s="591"/>
      <c r="L17" s="590"/>
      <c r="M17" s="124"/>
    </row>
    <row r="18" spans="2:13" s="92" customFormat="1" ht="15" customHeight="1" x14ac:dyDescent="0.2">
      <c r="B18" s="124"/>
      <c r="C18" s="124"/>
      <c r="D18" s="124"/>
      <c r="E18" s="586"/>
      <c r="F18" s="587"/>
      <c r="G18" s="28"/>
      <c r="H18" s="58"/>
      <c r="I18" s="58"/>
      <c r="J18" s="58"/>
      <c r="K18" s="591"/>
      <c r="L18" s="590"/>
      <c r="M18" s="124"/>
    </row>
    <row r="19" spans="2:13" s="92" customFormat="1" ht="15" customHeight="1" x14ac:dyDescent="0.2">
      <c r="B19" s="124"/>
      <c r="C19" s="124"/>
      <c r="D19" s="124"/>
      <c r="E19" s="586"/>
      <c r="F19" s="586"/>
      <c r="G19" s="28"/>
      <c r="H19" s="58"/>
      <c r="I19" s="28"/>
      <c r="J19" s="58"/>
      <c r="K19" s="590"/>
      <c r="L19" s="590"/>
      <c r="M19" s="124"/>
    </row>
    <row r="20" spans="2:13" s="92" customFormat="1" ht="15" customHeight="1" x14ac:dyDescent="0.2">
      <c r="B20" s="124"/>
      <c r="C20" s="58"/>
      <c r="D20" s="58"/>
      <c r="E20" s="590"/>
      <c r="F20" s="586"/>
      <c r="G20" s="28"/>
      <c r="H20" s="124"/>
      <c r="I20" s="28"/>
      <c r="J20" s="58"/>
      <c r="K20" s="590"/>
      <c r="L20" s="591"/>
      <c r="M20" s="124"/>
    </row>
    <row r="21" spans="2:13" s="92" customFormat="1" ht="15" customHeight="1" x14ac:dyDescent="0.2">
      <c r="B21" s="124"/>
      <c r="C21" s="592"/>
      <c r="D21" s="58"/>
      <c r="E21" s="590"/>
      <c r="F21" s="586"/>
      <c r="G21" s="28"/>
      <c r="H21" s="124"/>
      <c r="I21" s="28"/>
      <c r="J21" s="58"/>
      <c r="K21" s="590"/>
      <c r="L21" s="591"/>
      <c r="M21" s="124"/>
    </row>
    <row r="22" spans="2:13" s="92" customFormat="1" ht="15" customHeight="1" x14ac:dyDescent="0.2">
      <c r="B22" s="124"/>
      <c r="C22" s="124"/>
      <c r="D22" s="124"/>
      <c r="E22" s="593"/>
      <c r="F22" s="586"/>
      <c r="G22" s="28"/>
      <c r="H22" s="124"/>
      <c r="I22" s="58"/>
      <c r="J22" s="124"/>
      <c r="K22" s="591"/>
      <c r="L22" s="590"/>
      <c r="M22" s="594"/>
    </row>
    <row r="23" spans="2:13" s="92" customFormat="1" ht="15" customHeight="1" x14ac:dyDescent="0.2">
      <c r="B23" s="124"/>
      <c r="C23" s="124"/>
      <c r="D23" s="124"/>
      <c r="E23" s="586"/>
      <c r="F23" s="587"/>
      <c r="G23" s="28"/>
      <c r="H23" s="124"/>
      <c r="I23" s="58"/>
      <c r="J23" s="124"/>
      <c r="K23" s="591"/>
      <c r="L23" s="591"/>
      <c r="M23" s="124"/>
    </row>
    <row r="24" spans="2:13" s="92" customFormat="1" ht="15" customHeight="1" x14ac:dyDescent="0.2">
      <c r="B24" s="124"/>
      <c r="C24" s="124"/>
      <c r="D24" s="124"/>
      <c r="E24" s="586"/>
      <c r="F24" s="586"/>
      <c r="G24" s="28"/>
      <c r="H24" s="124"/>
      <c r="I24" s="58"/>
      <c r="J24" s="58"/>
      <c r="K24" s="590"/>
      <c r="L24" s="590"/>
      <c r="M24" s="594"/>
    </row>
    <row r="25" spans="2:13" s="92" customFormat="1" ht="15" customHeight="1" x14ac:dyDescent="0.2">
      <c r="B25" s="58"/>
      <c r="C25" s="58"/>
      <c r="D25" s="595"/>
      <c r="E25" s="590"/>
      <c r="F25" s="586"/>
      <c r="G25" s="28"/>
      <c r="H25" s="58"/>
      <c r="I25" s="58"/>
      <c r="J25" s="58"/>
      <c r="K25" s="590"/>
      <c r="L25" s="590"/>
      <c r="M25" s="124"/>
    </row>
    <row r="26" spans="2:13" s="92" customFormat="1" ht="15" customHeight="1" x14ac:dyDescent="0.2">
      <c r="B26" s="58"/>
      <c r="C26" s="592"/>
      <c r="D26" s="595"/>
      <c r="E26" s="590"/>
      <c r="F26" s="586"/>
      <c r="G26" s="28"/>
      <c r="H26" s="58"/>
      <c r="I26" s="58"/>
      <c r="J26" s="58"/>
      <c r="K26" s="58"/>
      <c r="L26" s="590"/>
      <c r="M26" s="58"/>
    </row>
    <row r="27" spans="2:13" s="92" customFormat="1" ht="15" customHeight="1" x14ac:dyDescent="0.2">
      <c r="B27" s="58"/>
      <c r="C27" s="596"/>
      <c r="D27" s="162"/>
      <c r="F27" s="587"/>
      <c r="G27" s="28"/>
      <c r="H27" s="58"/>
      <c r="I27" s="58"/>
      <c r="J27" s="58"/>
      <c r="K27" s="58"/>
      <c r="L27" s="590"/>
      <c r="M27" s="58"/>
    </row>
    <row r="28" spans="2:13" s="92" customFormat="1" ht="15" customHeight="1" x14ac:dyDescent="0.2">
      <c r="B28" s="597"/>
      <c r="C28" s="28"/>
      <c r="D28" s="162"/>
      <c r="E28" s="598"/>
      <c r="F28" s="450"/>
      <c r="G28" s="28"/>
    </row>
    <row r="29" spans="2:13" s="92" customFormat="1" ht="15" customHeight="1" x14ac:dyDescent="0.2">
      <c r="B29" s="597"/>
      <c r="C29" s="28"/>
      <c r="D29" s="162"/>
      <c r="E29" s="598"/>
      <c r="F29" s="450"/>
      <c r="G29" s="28"/>
    </row>
    <row r="30" spans="2:13" s="92" customFormat="1" ht="15" customHeight="1" x14ac:dyDescent="0.2">
      <c r="B30" s="597"/>
      <c r="C30" s="58"/>
      <c r="D30" s="599"/>
      <c r="E30" s="590"/>
      <c r="F30" s="450"/>
      <c r="G30" s="28"/>
      <c r="H30" s="28"/>
      <c r="I30" s="28"/>
      <c r="J30" s="28"/>
      <c r="K30" s="474"/>
      <c r="L30" s="474"/>
      <c r="M30" s="600"/>
    </row>
    <row r="31" spans="2:13" s="92" customFormat="1" ht="15" customHeight="1" x14ac:dyDescent="0.2">
      <c r="B31" s="597"/>
      <c r="C31" s="28"/>
      <c r="D31" s="28"/>
      <c r="E31" s="598"/>
      <c r="F31" s="450"/>
      <c r="G31" s="28"/>
      <c r="H31" s="28"/>
      <c r="I31" s="28"/>
      <c r="J31" s="30"/>
      <c r="K31" s="601"/>
      <c r="L31" s="474"/>
      <c r="M31" s="600"/>
    </row>
    <row r="32" spans="2:13" s="92" customFormat="1" ht="15" customHeight="1" x14ac:dyDescent="0.25">
      <c r="B32" s="632"/>
      <c r="C32" s="632"/>
      <c r="D32" s="536"/>
      <c r="E32" s="602"/>
      <c r="F32" s="603"/>
      <c r="G32" s="28"/>
      <c r="H32" s="632"/>
      <c r="I32" s="632"/>
      <c r="J32" s="632"/>
      <c r="K32" s="632"/>
      <c r="L32" s="175"/>
      <c r="M32" s="603"/>
    </row>
    <row r="33" spans="2:14" s="92" customFormat="1" ht="15" customHeight="1" x14ac:dyDescent="0.2">
      <c r="B33" s="28"/>
      <c r="C33" s="28"/>
      <c r="D33" s="28"/>
      <c r="E33" s="474"/>
      <c r="F33" s="28"/>
      <c r="G33" s="28"/>
      <c r="H33" s="28"/>
      <c r="I33" s="28"/>
      <c r="J33" s="473"/>
      <c r="K33" s="474"/>
      <c r="L33" s="474"/>
      <c r="M33" s="604"/>
    </row>
    <row r="34" spans="2:14" s="92" customFormat="1" ht="15" customHeight="1" x14ac:dyDescent="0.2">
      <c r="B34" s="81"/>
      <c r="C34" s="28"/>
      <c r="D34" s="28"/>
      <c r="E34" s="474"/>
      <c r="F34" s="450"/>
      <c r="G34" s="28"/>
      <c r="H34" s="81"/>
      <c r="I34" s="473"/>
      <c r="J34" s="473"/>
      <c r="K34" s="473"/>
      <c r="L34" s="28"/>
      <c r="M34" s="450"/>
    </row>
    <row r="35" spans="2:14" s="92" customFormat="1" ht="15" customHeight="1" x14ac:dyDescent="0.2">
      <c r="B35" s="81"/>
      <c r="C35" s="28"/>
      <c r="D35" s="28"/>
      <c r="E35" s="474"/>
      <c r="F35" s="450"/>
      <c r="G35" s="28"/>
      <c r="H35" s="81"/>
      <c r="M35" s="450"/>
    </row>
    <row r="36" spans="2:14" s="92" customFormat="1" ht="15" customHeight="1" x14ac:dyDescent="0.2">
      <c r="C36" s="28"/>
      <c r="E36" s="590"/>
      <c r="I36" s="597"/>
      <c r="L36" s="590"/>
      <c r="M36" s="473"/>
    </row>
    <row r="37" spans="2:14" s="92" customFormat="1" ht="15" customHeight="1" x14ac:dyDescent="0.2">
      <c r="L37" s="590"/>
      <c r="M37" s="473"/>
    </row>
    <row r="38" spans="2:14" s="92" customFormat="1" ht="15" customHeight="1" x14ac:dyDescent="0.2">
      <c r="B38" s="597"/>
      <c r="G38" s="28"/>
      <c r="H38" s="28"/>
      <c r="L38" s="590"/>
      <c r="M38" s="473"/>
    </row>
    <row r="39" spans="2:14" s="92" customFormat="1" ht="15" customHeight="1" x14ac:dyDescent="0.2">
      <c r="G39" s="28"/>
      <c r="L39" s="590"/>
      <c r="M39" s="473"/>
    </row>
    <row r="40" spans="2:14" s="92" customFormat="1" ht="15" customHeight="1" x14ac:dyDescent="0.2">
      <c r="G40" s="28"/>
      <c r="I40" s="475"/>
      <c r="L40" s="590"/>
      <c r="M40" s="473"/>
    </row>
    <row r="41" spans="2:14" s="92" customFormat="1" ht="15" customHeight="1" x14ac:dyDescent="0.2">
      <c r="I41" s="68"/>
      <c r="L41" s="590"/>
      <c r="M41" s="473"/>
      <c r="N41" s="605"/>
    </row>
    <row r="42" spans="2:14" s="92" customFormat="1" ht="15" hidden="1" customHeight="1" x14ac:dyDescent="0.2">
      <c r="C42" s="606"/>
      <c r="D42" s="101"/>
      <c r="E42" s="590"/>
      <c r="L42" s="607"/>
      <c r="M42" s="473"/>
      <c r="N42" s="605"/>
    </row>
    <row r="43" spans="2:14" s="92" customFormat="1" ht="15" hidden="1" customHeight="1" x14ac:dyDescent="0.2">
      <c r="G43" s="28"/>
      <c r="H43" s="473"/>
      <c r="M43" s="473"/>
      <c r="N43" s="608"/>
    </row>
    <row r="44" spans="2:14" s="92" customFormat="1" ht="15" hidden="1" customHeight="1" x14ac:dyDescent="0.2">
      <c r="N44" s="605"/>
    </row>
    <row r="45" spans="2:14" s="92" customFormat="1" ht="15" customHeight="1" x14ac:dyDescent="0.2">
      <c r="N45" s="605"/>
    </row>
    <row r="46" spans="2:14" s="92" customFormat="1" ht="15" customHeight="1" x14ac:dyDescent="0.2">
      <c r="B46" s="609"/>
      <c r="C46" s="28"/>
      <c r="D46" s="28"/>
      <c r="E46" s="474"/>
      <c r="F46" s="450"/>
      <c r="G46" s="28"/>
      <c r="H46" s="473"/>
      <c r="I46" s="28"/>
      <c r="J46" s="28"/>
      <c r="K46" s="28"/>
      <c r="L46" s="28"/>
      <c r="M46" s="473"/>
      <c r="N46" s="605"/>
    </row>
    <row r="47" spans="2:14" s="92" customFormat="1" ht="15" customHeight="1" x14ac:dyDescent="0.2">
      <c r="B47" s="609"/>
      <c r="C47" s="28"/>
      <c r="D47" s="28"/>
      <c r="E47" s="474"/>
      <c r="F47" s="450"/>
      <c r="G47" s="28"/>
      <c r="H47" s="473"/>
      <c r="I47" s="28"/>
      <c r="J47" s="28"/>
      <c r="K47" s="28"/>
      <c r="L47" s="28"/>
      <c r="M47" s="473"/>
      <c r="N47" s="605"/>
    </row>
    <row r="48" spans="2:14" s="92" customFormat="1" ht="15" customHeight="1" x14ac:dyDescent="0.2">
      <c r="B48" s="609"/>
      <c r="C48" s="28"/>
      <c r="D48" s="28"/>
      <c r="E48" s="474"/>
      <c r="F48" s="450"/>
      <c r="G48" s="28"/>
      <c r="H48" s="473"/>
      <c r="I48" s="28"/>
      <c r="J48" s="28"/>
      <c r="K48" s="28"/>
      <c r="L48" s="28"/>
      <c r="M48" s="473"/>
      <c r="N48" s="605"/>
    </row>
    <row r="49" spans="1:14" s="92" customFormat="1" ht="15" customHeight="1" x14ac:dyDescent="0.2">
      <c r="B49" s="609"/>
      <c r="C49" s="28"/>
      <c r="D49" s="28"/>
      <c r="E49" s="474"/>
      <c r="F49" s="450"/>
      <c r="G49" s="28"/>
      <c r="H49" s="473"/>
      <c r="I49" s="28"/>
      <c r="J49" s="28"/>
      <c r="K49" s="28"/>
      <c r="L49" s="28"/>
      <c r="M49" s="473"/>
      <c r="N49" s="605"/>
    </row>
    <row r="50" spans="1:14" s="92" customFormat="1" ht="15" customHeight="1" x14ac:dyDescent="0.2">
      <c r="B50" s="609"/>
      <c r="C50" s="28"/>
      <c r="D50" s="28"/>
      <c r="E50" s="474"/>
      <c r="F50" s="450"/>
      <c r="G50" s="28"/>
      <c r="H50" s="473"/>
      <c r="I50" s="28"/>
      <c r="J50" s="28"/>
      <c r="K50" s="28"/>
      <c r="L50" s="28"/>
      <c r="M50" s="473"/>
      <c r="N50" s="605"/>
    </row>
    <row r="51" spans="1:14" s="92" customFormat="1" ht="15" customHeight="1" x14ac:dyDescent="0.25">
      <c r="B51" s="632"/>
      <c r="C51" s="632"/>
      <c r="D51" s="536"/>
      <c r="E51" s="602"/>
      <c r="F51" s="603"/>
      <c r="G51" s="175"/>
      <c r="H51" s="632"/>
      <c r="I51" s="632"/>
      <c r="J51" s="632"/>
      <c r="K51" s="632"/>
      <c r="L51" s="175"/>
      <c r="M51" s="603"/>
      <c r="N51" s="605"/>
    </row>
    <row r="52" spans="1:14" s="92" customFormat="1" ht="15" customHeight="1" x14ac:dyDescent="0.2">
      <c r="B52" s="597"/>
      <c r="C52" s="597"/>
      <c r="D52" s="597"/>
      <c r="E52" s="474"/>
      <c r="F52" s="450"/>
      <c r="G52" s="28"/>
      <c r="H52" s="473"/>
      <c r="I52" s="473"/>
      <c r="J52" s="473"/>
      <c r="K52" s="473"/>
      <c r="L52" s="28"/>
      <c r="M52" s="473"/>
      <c r="N52" s="605"/>
    </row>
    <row r="53" spans="1:14" s="92" customFormat="1" ht="15" customHeight="1" x14ac:dyDescent="0.2">
      <c r="B53" s="81"/>
      <c r="C53" s="597"/>
      <c r="D53" s="597"/>
      <c r="E53" s="474"/>
      <c r="F53" s="450"/>
      <c r="G53" s="28"/>
      <c r="H53" s="81"/>
      <c r="I53" s="28"/>
      <c r="J53" s="28"/>
      <c r="K53" s="610"/>
      <c r="L53" s="28"/>
      <c r="M53" s="450"/>
      <c r="N53" s="605"/>
    </row>
    <row r="54" spans="1:14" s="92" customFormat="1" ht="15" customHeight="1" x14ac:dyDescent="0.2">
      <c r="B54" s="611"/>
      <c r="C54" s="597"/>
      <c r="D54" s="597"/>
      <c r="E54" s="474"/>
      <c r="F54" s="450"/>
      <c r="G54" s="28"/>
      <c r="H54" s="81"/>
      <c r="I54" s="28"/>
      <c r="J54" s="28"/>
      <c r="K54" s="610"/>
      <c r="L54" s="28"/>
      <c r="M54" s="612"/>
      <c r="N54" s="605"/>
    </row>
    <row r="55" spans="1:14" s="92" customFormat="1" ht="15" customHeight="1" x14ac:dyDescent="0.2">
      <c r="B55" s="597"/>
      <c r="C55" s="597"/>
      <c r="D55" s="597"/>
      <c r="E55" s="474"/>
      <c r="F55" s="450"/>
      <c r="G55" s="28"/>
      <c r="H55" s="81"/>
      <c r="I55" s="28"/>
      <c r="J55" s="28"/>
      <c r="K55" s="28"/>
      <c r="L55" s="28"/>
      <c r="M55" s="474"/>
      <c r="N55" s="605"/>
    </row>
    <row r="56" spans="1:14" s="92" customFormat="1" ht="15" customHeight="1" x14ac:dyDescent="0.25">
      <c r="B56" s="632"/>
      <c r="C56" s="632"/>
      <c r="D56" s="536"/>
      <c r="E56" s="602"/>
      <c r="F56" s="603"/>
      <c r="G56" s="175"/>
      <c r="H56" s="632"/>
      <c r="I56" s="632"/>
      <c r="J56" s="632"/>
      <c r="K56" s="632"/>
      <c r="L56" s="298"/>
      <c r="M56" s="603"/>
      <c r="N56" s="605"/>
    </row>
    <row r="57" spans="1:14" s="72" customFormat="1" ht="15" customHeight="1" x14ac:dyDescent="0.2">
      <c r="A57" s="71"/>
      <c r="G57" s="107"/>
      <c r="H57" s="78"/>
      <c r="I57" s="78"/>
      <c r="J57" s="78"/>
      <c r="K57" s="78"/>
      <c r="L57" s="78"/>
      <c r="M57" s="78"/>
      <c r="N57" s="85"/>
    </row>
    <row r="58" spans="1:14" s="72" customFormat="1" ht="15" hidden="1" customHeight="1" x14ac:dyDescent="0.2">
      <c r="A58" s="71"/>
      <c r="H58" s="78"/>
      <c r="I58" s="78"/>
      <c r="J58" s="78"/>
      <c r="K58" s="78"/>
      <c r="L58" s="78"/>
      <c r="M58" s="78"/>
      <c r="N58" s="85"/>
    </row>
    <row r="59" spans="1:14" s="72" customFormat="1" ht="15" customHeight="1" x14ac:dyDescent="0.2">
      <c r="A59" s="71"/>
      <c r="F59" s="107"/>
      <c r="G59" s="107"/>
      <c r="H59" s="78"/>
      <c r="I59" s="78"/>
      <c r="J59" s="78"/>
      <c r="K59" s="78"/>
      <c r="L59" s="584" t="s">
        <v>4</v>
      </c>
      <c r="M59" s="78"/>
      <c r="N59" s="85"/>
    </row>
    <row r="60" spans="1:14" s="72" customFormat="1" ht="15" customHeight="1" x14ac:dyDescent="0.2">
      <c r="A60" s="71"/>
      <c r="F60" s="107"/>
      <c r="H60" s="85"/>
      <c r="I60" s="85"/>
      <c r="J60" s="85"/>
      <c r="K60" s="85"/>
      <c r="L60" s="85"/>
      <c r="M60" s="85"/>
      <c r="N60" s="85"/>
    </row>
    <row r="61" spans="1:14" s="72" customFormat="1" ht="15" customHeight="1" x14ac:dyDescent="0.2">
      <c r="A61" s="71"/>
      <c r="H61" s="85"/>
      <c r="I61" s="85"/>
      <c r="J61" s="85"/>
      <c r="K61" s="85"/>
      <c r="L61" s="85"/>
      <c r="M61" s="85"/>
      <c r="N61" s="85"/>
    </row>
    <row r="62" spans="1:14" s="72" customFormat="1" ht="15" customHeight="1" x14ac:dyDescent="0.2">
      <c r="A62" s="71"/>
      <c r="H62" s="85"/>
      <c r="I62" s="85"/>
      <c r="J62" s="85"/>
      <c r="K62" s="85"/>
      <c r="L62" s="85"/>
      <c r="M62" s="85"/>
      <c r="N62" s="85"/>
    </row>
    <row r="63" spans="1:14" s="72" customFormat="1" ht="15" customHeight="1" x14ac:dyDescent="0.2">
      <c r="A63" s="71"/>
      <c r="H63" s="85"/>
      <c r="I63" s="85"/>
      <c r="J63" s="85"/>
      <c r="K63" s="85"/>
      <c r="L63" s="85"/>
      <c r="M63" s="85"/>
      <c r="N63" s="85"/>
    </row>
    <row r="64" spans="1:14" s="72" customFormat="1" ht="15" customHeight="1" x14ac:dyDescent="0.2">
      <c r="A64" s="71"/>
      <c r="F64" s="89"/>
      <c r="H64" s="85"/>
      <c r="I64" s="85"/>
      <c r="J64" s="85"/>
      <c r="K64" s="85"/>
      <c r="L64" s="85"/>
      <c r="M64" s="85"/>
      <c r="N64" s="85"/>
    </row>
    <row r="65" spans="1:14" s="72" customFormat="1" ht="15" customHeight="1" x14ac:dyDescent="0.2">
      <c r="A65" s="71"/>
      <c r="H65" s="85"/>
      <c r="I65" s="85"/>
      <c r="J65" s="85"/>
      <c r="K65" s="85"/>
      <c r="L65" s="85"/>
      <c r="M65" s="85"/>
      <c r="N65" s="85"/>
    </row>
    <row r="66" spans="1:14" s="72" customFormat="1" ht="15.75" customHeight="1" x14ac:dyDescent="0.2">
      <c r="A66" s="71"/>
      <c r="B66" s="71"/>
      <c r="C66" s="90"/>
      <c r="D66" s="90"/>
      <c r="E66" s="91"/>
      <c r="F66" s="91"/>
      <c r="G66" s="91"/>
      <c r="H66" s="92"/>
      <c r="I66" s="92"/>
      <c r="J66" s="92"/>
      <c r="K66" s="92"/>
      <c r="L66" s="92"/>
      <c r="M66" s="92"/>
      <c r="N66" s="85"/>
    </row>
    <row r="67" spans="1:14" s="72" customFormat="1" ht="15.75" customHeight="1" x14ac:dyDescent="0.2">
      <c r="A67" s="71"/>
      <c r="C67" s="624"/>
      <c r="D67" s="624"/>
      <c r="E67" s="624"/>
      <c r="F67" s="91"/>
      <c r="G67" s="93"/>
      <c r="H67" s="624"/>
      <c r="I67" s="624"/>
      <c r="J67" s="624"/>
      <c r="K67" s="624"/>
      <c r="L67" s="624"/>
      <c r="M67" s="624"/>
      <c r="N67" s="85"/>
    </row>
    <row r="68" spans="1:14" s="72" customFormat="1" ht="15.75" customHeight="1" x14ac:dyDescent="0.2">
      <c r="A68" s="71"/>
      <c r="C68" s="624"/>
      <c r="D68" s="624"/>
      <c r="E68" s="624"/>
      <c r="F68" s="91"/>
      <c r="G68" s="93"/>
      <c r="H68" s="624"/>
      <c r="I68" s="624"/>
      <c r="J68" s="624"/>
      <c r="K68" s="624"/>
      <c r="L68" s="624"/>
      <c r="M68" s="624"/>
      <c r="N68" s="85"/>
    </row>
    <row r="69" spans="1:14" s="72" customFormat="1" ht="15.75" customHeight="1" x14ac:dyDescent="0.2">
      <c r="A69" s="71"/>
      <c r="C69" s="94"/>
      <c r="D69" s="94"/>
      <c r="E69" s="94"/>
      <c r="F69" s="91"/>
      <c r="G69" s="93"/>
      <c r="H69" s="624"/>
      <c r="I69" s="624"/>
      <c r="J69" s="624"/>
      <c r="K69" s="624"/>
      <c r="L69" s="624"/>
      <c r="M69" s="624"/>
      <c r="N69" s="85"/>
    </row>
    <row r="70" spans="1:14" s="72" customFormat="1" ht="15.75" customHeight="1" x14ac:dyDescent="0.2">
      <c r="A70" s="71"/>
      <c r="C70" s="90"/>
      <c r="D70" s="90"/>
      <c r="E70" s="91"/>
      <c r="F70" s="91"/>
      <c r="G70" s="93"/>
      <c r="H70" s="93"/>
      <c r="I70" s="95"/>
      <c r="J70" s="95"/>
      <c r="K70" s="95"/>
      <c r="L70" s="95"/>
      <c r="M70" s="95"/>
      <c r="N70" s="85"/>
    </row>
    <row r="71" spans="1:14" s="72" customFormat="1" ht="15.75" customHeight="1" x14ac:dyDescent="0.2">
      <c r="A71" s="71"/>
      <c r="C71" s="90"/>
      <c r="D71" s="90"/>
      <c r="E71" s="91"/>
      <c r="F71" s="91"/>
      <c r="G71" s="93"/>
      <c r="H71" s="93"/>
      <c r="I71" s="95"/>
      <c r="J71" s="95"/>
      <c r="K71" s="95"/>
      <c r="L71" s="95"/>
      <c r="M71" s="95"/>
      <c r="N71" s="85"/>
    </row>
    <row r="72" spans="1:14" s="72" customFormat="1" ht="15.75" customHeight="1" x14ac:dyDescent="0.2">
      <c r="A72" s="71"/>
      <c r="N72" s="85"/>
    </row>
    <row r="73" spans="1:14" s="72" customFormat="1" ht="15.75" customHeight="1" x14ac:dyDescent="0.2">
      <c r="A73" s="71"/>
      <c r="N73" s="87"/>
    </row>
    <row r="74" spans="1:14" s="72" customFormat="1" ht="15.75" customHeight="1" x14ac:dyDescent="0.2">
      <c r="A74" s="71"/>
      <c r="F74" s="107"/>
      <c r="N74" s="85"/>
    </row>
    <row r="75" spans="1:14" s="72" customFormat="1" ht="15.75" customHeight="1" x14ac:dyDescent="0.2">
      <c r="A75" s="71"/>
      <c r="N75" s="85"/>
    </row>
    <row r="76" spans="1:14" s="72" customFormat="1" ht="15.75" customHeight="1" x14ac:dyDescent="0.2">
      <c r="A76" s="71"/>
      <c r="B76" s="71"/>
      <c r="C76" s="71"/>
      <c r="D76" s="71"/>
      <c r="E76" s="86"/>
      <c r="F76" s="96"/>
      <c r="H76" s="97"/>
      <c r="I76" s="92"/>
      <c r="J76" s="92"/>
      <c r="K76" s="92"/>
      <c r="M76" s="86"/>
      <c r="N76" s="86"/>
    </row>
    <row r="77" spans="1:14" s="72" customFormat="1" ht="15.75" customHeight="1" x14ac:dyDescent="0.2">
      <c r="A77" s="71"/>
      <c r="N77" s="87"/>
    </row>
    <row r="78" spans="1:14" s="72" customFormat="1" ht="15.75" customHeight="1" x14ac:dyDescent="0.2">
      <c r="A78" s="71"/>
      <c r="B78" s="90"/>
      <c r="N78" s="71"/>
    </row>
    <row r="79" spans="1:14" s="72" customFormat="1" ht="15.75" customHeight="1" x14ac:dyDescent="0.2">
      <c r="A79" s="71"/>
      <c r="B79" s="90"/>
      <c r="N79" s="71"/>
    </row>
    <row r="80" spans="1:14" s="72" customFormat="1" ht="15.75" customHeight="1" x14ac:dyDescent="0.2">
      <c r="A80" s="71"/>
      <c r="B80" s="90"/>
      <c r="N80" s="71"/>
    </row>
    <row r="81" spans="1:14" s="72" customFormat="1" ht="15.75" customHeight="1" x14ac:dyDescent="0.2">
      <c r="A81" s="71"/>
      <c r="B81" s="90"/>
      <c r="N81" s="71"/>
    </row>
    <row r="82" spans="1:14" s="72" customFormat="1" ht="15.75" customHeight="1" x14ac:dyDescent="0.2">
      <c r="A82" s="71"/>
      <c r="B82" s="90"/>
      <c r="N82" s="71"/>
    </row>
    <row r="83" spans="1:14" s="72" customFormat="1" ht="15.75" customHeight="1" x14ac:dyDescent="0.2">
      <c r="A83" s="71"/>
      <c r="B83" s="90"/>
      <c r="N83" s="71"/>
    </row>
    <row r="84" spans="1:14" s="98" customFormat="1" ht="15.75" customHeight="1" x14ac:dyDescent="0.2">
      <c r="F84" s="99"/>
    </row>
    <row r="85" spans="1:14" s="98" customFormat="1" ht="15.75" customHeight="1" x14ac:dyDescent="0.2">
      <c r="F85" s="99"/>
    </row>
    <row r="86" spans="1:14" s="98" customFormat="1" ht="15.75" customHeight="1" x14ac:dyDescent="0.2">
      <c r="B86" s="94"/>
      <c r="F86" s="94"/>
    </row>
    <row r="87" spans="1:14" s="98" customFormat="1" ht="15.75" customHeight="1" x14ac:dyDescent="0.2"/>
    <row r="88" spans="1:14" ht="15.75" customHeight="1" x14ac:dyDescent="0.2">
      <c r="B88" s="90"/>
      <c r="C88" s="90"/>
      <c r="D88" s="90"/>
      <c r="E88" s="91"/>
      <c r="F88" s="91"/>
      <c r="G88" s="100"/>
    </row>
    <row r="89" spans="1:14" ht="15.75" customHeight="1" x14ac:dyDescent="0.2">
      <c r="B89" s="101"/>
      <c r="C89" s="101"/>
      <c r="D89" s="101"/>
      <c r="E89" s="90"/>
      <c r="F89" s="90"/>
      <c r="G89" s="100"/>
    </row>
    <row r="90" spans="1:14" ht="15.75" customHeight="1" x14ac:dyDescent="0.2">
      <c r="B90" s="102"/>
      <c r="C90" s="102"/>
      <c r="D90" s="102"/>
      <c r="E90" s="91"/>
      <c r="F90" s="91"/>
      <c r="G90" s="100"/>
    </row>
    <row r="91" spans="1:14" ht="15.75" customHeight="1" x14ac:dyDescent="0.2">
      <c r="B91" s="102"/>
      <c r="C91" s="102"/>
      <c r="D91" s="102"/>
      <c r="E91" s="91"/>
      <c r="F91" s="91"/>
      <c r="G91" s="100"/>
    </row>
    <row r="92" spans="1:14" ht="15.75" customHeight="1" x14ac:dyDescent="0.2">
      <c r="B92" s="103"/>
      <c r="C92" s="103"/>
      <c r="D92" s="103"/>
      <c r="E92" s="91"/>
      <c r="F92" s="91"/>
      <c r="G92" s="104"/>
    </row>
    <row r="93" spans="1:14" ht="15.75" customHeight="1" x14ac:dyDescent="0.2">
      <c r="B93" s="102"/>
      <c r="C93" s="102"/>
      <c r="D93" s="102"/>
      <c r="E93" s="91"/>
      <c r="F93" s="91"/>
    </row>
    <row r="94" spans="1:14" ht="15.75" customHeight="1" x14ac:dyDescent="0.2">
      <c r="B94" s="102"/>
      <c r="C94" s="102"/>
      <c r="D94" s="102"/>
      <c r="E94" s="91"/>
      <c r="F94" s="91"/>
    </row>
    <row r="95" spans="1:14" ht="15.75" customHeight="1" x14ac:dyDescent="0.2">
      <c r="B95" s="102"/>
      <c r="C95" s="102"/>
      <c r="D95" s="102"/>
    </row>
    <row r="96" spans="1:14" ht="15.75" customHeight="1" x14ac:dyDescent="0.2">
      <c r="B96" s="102"/>
      <c r="C96" s="102"/>
      <c r="D96" s="102"/>
      <c r="E96" s="105"/>
    </row>
    <row r="97" spans="2:8" ht="15.75" customHeight="1" x14ac:dyDescent="0.2">
      <c r="B97" s="102"/>
      <c r="C97" s="102"/>
      <c r="D97" s="102"/>
    </row>
    <row r="105" spans="2:8" ht="15.75" customHeight="1" x14ac:dyDescent="0.2">
      <c r="H105" s="100"/>
    </row>
    <row r="106" spans="2:8" ht="15.75" customHeight="1" x14ac:dyDescent="0.2">
      <c r="H106" s="100"/>
    </row>
    <row r="107" spans="2:8" ht="15.75" customHeight="1" x14ac:dyDescent="0.2">
      <c r="H107" s="100"/>
    </row>
    <row r="108" spans="2:8" ht="15.75" customHeight="1" x14ac:dyDescent="0.2">
      <c r="H108" s="100"/>
    </row>
    <row r="109" spans="2:8" ht="15.75" customHeight="1" x14ac:dyDescent="0.2">
      <c r="H109" s="100"/>
    </row>
    <row r="110" spans="2:8" ht="15.75" customHeight="1" x14ac:dyDescent="0.2">
      <c r="H110" s="100"/>
    </row>
    <row r="113" spans="7:7" ht="15.75" customHeight="1" x14ac:dyDescent="0.2">
      <c r="G113" s="100"/>
    </row>
    <row r="114" spans="7:7" ht="15.75" customHeight="1" x14ac:dyDescent="0.2">
      <c r="G114" s="100"/>
    </row>
    <row r="115" spans="7:7" ht="15.75" customHeight="1" x14ac:dyDescent="0.2">
      <c r="G115" s="100"/>
    </row>
    <row r="116" spans="7:7" ht="15.75" customHeight="1" x14ac:dyDescent="0.2">
      <c r="G116" s="100"/>
    </row>
    <row r="117" spans="7:7" ht="15.75" customHeight="1" x14ac:dyDescent="0.2">
      <c r="G117" s="100"/>
    </row>
    <row r="118" spans="7:7" ht="15.75" customHeight="1" x14ac:dyDescent="0.2">
      <c r="G118" s="100"/>
    </row>
  </sheetData>
  <mergeCells count="16">
    <mergeCell ref="B32:C32"/>
    <mergeCell ref="H32:K32"/>
    <mergeCell ref="A2:N2"/>
    <mergeCell ref="A3:N3"/>
    <mergeCell ref="A4:M4"/>
    <mergeCell ref="B11:F12"/>
    <mergeCell ref="H11:M12"/>
    <mergeCell ref="C68:E68"/>
    <mergeCell ref="H68:M68"/>
    <mergeCell ref="H69:M69"/>
    <mergeCell ref="B51:C51"/>
    <mergeCell ref="H51:K51"/>
    <mergeCell ref="B56:C56"/>
    <mergeCell ref="H56:K56"/>
    <mergeCell ref="C67:E67"/>
    <mergeCell ref="H67:M67"/>
  </mergeCells>
  <printOptions horizontalCentered="1" verticalCentered="1"/>
  <pageMargins left="0.59055118110236227" right="0.59055118110236227" top="0.59055118110236227" bottom="0.59055118110236227" header="0" footer="0"/>
  <pageSetup scale="56" orientation="landscape" horizontalDpi="300" verticalDpi="300" r:id="rId1"/>
  <headerFooter alignWithMargins="0"/>
  <rowBreaks count="1" manualBreakCount="1">
    <brk id="65" max="16383" man="1"/>
  </rowBreaks>
  <drawing r:id="rId2"/>
  <legacyDrawing r:id="rId3"/>
  <oleObjects>
    <mc:AlternateContent xmlns:mc="http://schemas.openxmlformats.org/markup-compatibility/2006">
      <mc:Choice Requires="x14">
        <oleObject progId="Excel.Sheet.8" shapeId="59393" r:id="rId4">
          <objectPr defaultSize="0" autoPict="0" r:id="rId5">
            <anchor moveWithCells="1" sizeWithCells="1">
              <from>
                <xdr:col>8</xdr:col>
                <xdr:colOff>381000</xdr:colOff>
                <xdr:row>60</xdr:row>
                <xdr:rowOff>114300</xdr:rowOff>
              </from>
              <to>
                <xdr:col>10</xdr:col>
                <xdr:colOff>685800</xdr:colOff>
                <xdr:row>64</xdr:row>
                <xdr:rowOff>47625</xdr:rowOff>
              </to>
            </anchor>
          </objectPr>
        </oleObject>
      </mc:Choice>
      <mc:Fallback>
        <oleObject progId="Excel.Sheet.8" shapeId="59393" r:id="rId4"/>
      </mc:Fallback>
    </mc:AlternateContent>
    <mc:AlternateContent xmlns:mc="http://schemas.openxmlformats.org/markup-compatibility/2006">
      <mc:Choice Requires="x14">
        <oleObject progId="Excel.Sheet.8" shapeId="59394" r:id="rId6">
          <objectPr defaultSize="0" autoPict="0" r:id="rId7">
            <anchor moveWithCells="1" sizeWithCells="1">
              <from>
                <xdr:col>2</xdr:col>
                <xdr:colOff>1171575</xdr:colOff>
                <xdr:row>60</xdr:row>
                <xdr:rowOff>114300</xdr:rowOff>
              </from>
              <to>
                <xdr:col>4</xdr:col>
                <xdr:colOff>962025</xdr:colOff>
                <xdr:row>64</xdr:row>
                <xdr:rowOff>47625</xdr:rowOff>
              </to>
            </anchor>
          </objectPr>
        </oleObject>
      </mc:Choice>
      <mc:Fallback>
        <oleObject progId="Excel.Sheet.8" shapeId="5939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7"/>
  <sheetViews>
    <sheetView topLeftCell="A4" zoomScale="85" zoomScaleNormal="85" workbookViewId="0">
      <selection activeCell="F22" sqref="F22"/>
    </sheetView>
  </sheetViews>
  <sheetFormatPr baseColWidth="10" defaultRowHeight="12.75" x14ac:dyDescent="0.2"/>
  <cols>
    <col min="1" max="1" width="4.28515625" customWidth="1"/>
    <col min="2" max="2" width="17.140625" customWidth="1"/>
    <col min="3" max="3" width="4.28515625" customWidth="1"/>
    <col min="4" max="4" width="71.42578125" customWidth="1"/>
    <col min="5" max="5" width="4.28515625" customWidth="1"/>
    <col min="6" max="6" width="21.42578125" customWidth="1"/>
    <col min="7" max="7" width="4.28515625" customWidth="1"/>
    <col min="8" max="8" width="19.85546875" bestFit="1" customWidth="1"/>
    <col min="9" max="9" width="16" bestFit="1" customWidth="1"/>
    <col min="12" max="12" width="15.28515625" bestFit="1" customWidth="1"/>
  </cols>
  <sheetData>
    <row r="2" spans="1:9" ht="14.25" customHeight="1" x14ac:dyDescent="0.2"/>
    <row r="3" spans="1:9" ht="27" customHeight="1" x14ac:dyDescent="0.2">
      <c r="A3" s="634" t="s">
        <v>0</v>
      </c>
      <c r="B3" s="634"/>
      <c r="C3" s="634"/>
      <c r="D3" s="634"/>
      <c r="E3" s="634"/>
      <c r="F3" s="634"/>
      <c r="G3" s="634"/>
    </row>
    <row r="4" spans="1:9" ht="27" customHeight="1" x14ac:dyDescent="0.2">
      <c r="A4" s="635" t="s">
        <v>106</v>
      </c>
      <c r="B4" s="635"/>
      <c r="C4" s="635"/>
      <c r="D4" s="635"/>
      <c r="E4" s="635"/>
      <c r="F4" s="635"/>
      <c r="G4" s="635"/>
    </row>
    <row r="5" spans="1:9" ht="15" customHeight="1" x14ac:dyDescent="0.25">
      <c r="A5" s="2"/>
      <c r="B5" s="2"/>
      <c r="C5" s="2"/>
      <c r="D5" s="2"/>
      <c r="E5" s="2"/>
      <c r="F5" s="2"/>
      <c r="G5" s="2"/>
    </row>
    <row r="6" spans="1:9" ht="15" customHeight="1" x14ac:dyDescent="0.25">
      <c r="A6" s="2"/>
      <c r="B6" s="2"/>
      <c r="C6" s="2"/>
      <c r="D6" s="2"/>
      <c r="E6" s="2"/>
      <c r="F6" s="2"/>
      <c r="G6" s="2"/>
    </row>
    <row r="7" spans="1:9" ht="15" customHeight="1" x14ac:dyDescent="0.25">
      <c r="A7" s="638" t="s">
        <v>47</v>
      </c>
      <c r="B7" s="638"/>
      <c r="C7" s="638"/>
      <c r="D7" s="638"/>
      <c r="E7" s="638"/>
      <c r="F7" s="638"/>
      <c r="G7" s="638"/>
    </row>
    <row r="8" spans="1:9" ht="15" customHeight="1" x14ac:dyDescent="0.25">
      <c r="A8" s="638" t="s">
        <v>970</v>
      </c>
      <c r="B8" s="638"/>
      <c r="C8" s="638"/>
      <c r="D8" s="638"/>
      <c r="E8" s="638"/>
      <c r="F8" s="638"/>
      <c r="G8" s="638"/>
    </row>
    <row r="9" spans="1:9" ht="15" customHeight="1" x14ac:dyDescent="0.25">
      <c r="A9" s="638" t="s">
        <v>1</v>
      </c>
      <c r="B9" s="638"/>
      <c r="C9" s="638"/>
      <c r="D9" s="638"/>
      <c r="E9" s="638"/>
      <c r="F9" s="638"/>
      <c r="G9" s="638"/>
    </row>
    <row r="10" spans="1:9" ht="15" customHeight="1" x14ac:dyDescent="0.2">
      <c r="A10" s="637"/>
      <c r="B10" s="637"/>
      <c r="C10" s="637"/>
      <c r="D10" s="637"/>
      <c r="E10" s="637"/>
      <c r="F10" s="637"/>
      <c r="G10" s="637"/>
    </row>
    <row r="11" spans="1:9" ht="18.75" customHeight="1" x14ac:dyDescent="0.2">
      <c r="A11" s="3"/>
      <c r="B11" s="3"/>
      <c r="C11" s="3"/>
      <c r="D11" s="3"/>
      <c r="E11" s="3"/>
      <c r="F11" s="3"/>
      <c r="G11" s="3"/>
    </row>
    <row r="12" spans="1:9" ht="18.75" customHeight="1" x14ac:dyDescent="0.2">
      <c r="A12" s="3"/>
      <c r="B12" s="3"/>
      <c r="C12" s="3"/>
      <c r="D12" s="3"/>
      <c r="E12" s="3"/>
      <c r="F12" s="3"/>
      <c r="G12" s="3"/>
    </row>
    <row r="13" spans="1:9" ht="18.75" customHeight="1" x14ac:dyDescent="0.2">
      <c r="A13" s="5"/>
      <c r="B13" s="629" t="s">
        <v>42</v>
      </c>
      <c r="D13" s="629" t="s">
        <v>43</v>
      </c>
      <c r="E13" s="5"/>
      <c r="F13" s="629" t="s">
        <v>5</v>
      </c>
      <c r="G13" s="4"/>
    </row>
    <row r="14" spans="1:9" ht="18.75" customHeight="1" x14ac:dyDescent="0.2">
      <c r="A14" s="5"/>
      <c r="B14" s="629"/>
      <c r="C14" s="147"/>
      <c r="D14" s="629"/>
      <c r="E14" s="5"/>
      <c r="F14" s="629" t="s">
        <v>5</v>
      </c>
      <c r="G14" s="4"/>
    </row>
    <row r="15" spans="1:9" ht="18.75" customHeight="1" x14ac:dyDescent="0.2">
      <c r="A15" s="5"/>
      <c r="B15" s="629"/>
      <c r="C15" s="147"/>
      <c r="D15" s="629"/>
      <c r="E15" s="5"/>
      <c r="F15" s="629"/>
      <c r="G15" s="258"/>
      <c r="H15" s="1"/>
      <c r="I15" s="1"/>
    </row>
    <row r="16" spans="1:9" s="19" customFormat="1" ht="18.75" customHeight="1" x14ac:dyDescent="0.2">
      <c r="A16" s="16"/>
      <c r="B16" s="16"/>
      <c r="C16" s="16"/>
      <c r="D16" s="16"/>
      <c r="E16" s="16"/>
      <c r="F16" s="17"/>
      <c r="G16" s="218"/>
      <c r="H16" s="24"/>
      <c r="I16" s="24"/>
    </row>
    <row r="17" spans="1:9" s="19" customFormat="1" ht="18.75" customHeight="1" x14ac:dyDescent="0.25">
      <c r="A17" s="16"/>
      <c r="B17" s="230"/>
      <c r="C17" s="24"/>
      <c r="D17" s="24"/>
      <c r="E17" s="229"/>
      <c r="F17" s="294"/>
      <c r="G17" s="24"/>
      <c r="H17" s="24"/>
      <c r="I17" s="24"/>
    </row>
    <row r="18" spans="1:9" s="19" customFormat="1" ht="18.75" customHeight="1" x14ac:dyDescent="0.2">
      <c r="A18" s="16"/>
      <c r="F18" s="179"/>
      <c r="G18" s="298"/>
      <c r="H18" s="24"/>
      <c r="I18" s="24"/>
    </row>
    <row r="19" spans="1:9" s="19" customFormat="1" ht="18.75" customHeight="1" x14ac:dyDescent="0.25">
      <c r="A19" s="16"/>
      <c r="B19" s="230" t="s">
        <v>143</v>
      </c>
      <c r="C19" s="24"/>
      <c r="D19" s="24"/>
      <c r="E19" s="229"/>
      <c r="F19" s="294"/>
      <c r="G19" s="298"/>
      <c r="H19" s="24"/>
      <c r="I19" s="24"/>
    </row>
    <row r="20" spans="1:9" s="19" customFormat="1" ht="18.75" customHeight="1" x14ac:dyDescent="0.2">
      <c r="A20" s="16"/>
      <c r="B20" s="24"/>
      <c r="C20" s="24"/>
      <c r="D20" s="24"/>
      <c r="E20" s="229"/>
      <c r="F20" s="294"/>
      <c r="G20" s="298"/>
      <c r="H20" s="24"/>
      <c r="I20" s="24"/>
    </row>
    <row r="21" spans="1:9" s="19" customFormat="1" ht="18.75" customHeight="1" x14ac:dyDescent="0.2">
      <c r="A21" s="16"/>
      <c r="B21" s="24" t="s">
        <v>861</v>
      </c>
      <c r="F21" s="164">
        <v>23465462</v>
      </c>
      <c r="G21" s="298"/>
      <c r="H21" s="446"/>
      <c r="I21" s="456"/>
    </row>
    <row r="22" spans="1:9" s="19" customFormat="1" ht="18.75" customHeight="1" x14ac:dyDescent="0.2">
      <c r="A22" s="16"/>
      <c r="B22" s="24" t="s">
        <v>969</v>
      </c>
      <c r="F22" s="164">
        <v>440090</v>
      </c>
      <c r="G22" s="298"/>
      <c r="H22" s="446"/>
      <c r="I22" s="456"/>
    </row>
    <row r="23" spans="1:9" s="19" customFormat="1" ht="18.75" customHeight="1" x14ac:dyDescent="0.2">
      <c r="A23" s="16"/>
      <c r="B23" s="24" t="s">
        <v>862</v>
      </c>
      <c r="F23" s="164">
        <v>9842272</v>
      </c>
      <c r="G23" s="298"/>
      <c r="H23" s="359"/>
      <c r="I23" s="24"/>
    </row>
    <row r="24" spans="1:9" s="19" customFormat="1" ht="18.75" customHeight="1" x14ac:dyDescent="0.2">
      <c r="A24" s="16"/>
      <c r="G24" s="24"/>
      <c r="H24" s="24"/>
      <c r="I24" s="24"/>
    </row>
    <row r="25" spans="1:9" s="19" customFormat="1" ht="18.75" customHeight="1" x14ac:dyDescent="0.25">
      <c r="A25" s="16"/>
      <c r="B25" s="230" t="s">
        <v>895</v>
      </c>
      <c r="C25" s="16"/>
      <c r="D25" s="16"/>
      <c r="E25" s="16"/>
      <c r="F25" s="298"/>
      <c r="G25" s="298"/>
      <c r="H25" s="24"/>
      <c r="I25" s="24"/>
    </row>
    <row r="26" spans="1:9" s="19" customFormat="1" ht="18.75" customHeight="1" x14ac:dyDescent="0.2">
      <c r="A26" s="16"/>
      <c r="B26" s="24"/>
      <c r="F26" s="298"/>
      <c r="G26" s="298"/>
      <c r="H26" s="24"/>
      <c r="I26" s="24"/>
    </row>
    <row r="27" spans="1:9" s="19" customFormat="1" ht="18.75" customHeight="1" x14ac:dyDescent="0.2">
      <c r="A27" s="16"/>
      <c r="B27" s="24" t="s">
        <v>968</v>
      </c>
      <c r="F27" s="164">
        <v>199435</v>
      </c>
      <c r="G27" s="24"/>
      <c r="H27" s="446"/>
      <c r="I27" s="446"/>
    </row>
    <row r="28" spans="1:9" s="19" customFormat="1" ht="18.75" customHeight="1" x14ac:dyDescent="0.2">
      <c r="A28" s="16"/>
      <c r="G28" s="24"/>
      <c r="H28" s="24"/>
      <c r="I28" s="24"/>
    </row>
    <row r="29" spans="1:9" s="19" customFormat="1" ht="18.75" customHeight="1" x14ac:dyDescent="0.2">
      <c r="A29" s="16"/>
      <c r="B29" s="24"/>
      <c r="F29" s="164"/>
      <c r="H29" s="24"/>
      <c r="I29" s="24"/>
    </row>
    <row r="30" spans="1:9" s="19" customFormat="1" ht="18.75" customHeight="1" x14ac:dyDescent="0.2">
      <c r="A30" s="16"/>
      <c r="B30" s="24"/>
      <c r="F30" s="164"/>
      <c r="H30" s="24"/>
      <c r="I30" s="24"/>
    </row>
    <row r="31" spans="1:9" s="19" customFormat="1" ht="18.75" customHeight="1" x14ac:dyDescent="0.2">
      <c r="A31" s="16"/>
      <c r="B31" s="24"/>
      <c r="F31" s="164"/>
      <c r="H31" s="24"/>
      <c r="I31" s="24"/>
    </row>
    <row r="32" spans="1:9" s="19" customFormat="1" ht="18.75" customHeight="1" x14ac:dyDescent="0.2">
      <c r="A32" s="295"/>
      <c r="B32" s="24"/>
      <c r="F32" s="164"/>
      <c r="G32" s="298"/>
      <c r="H32" s="24"/>
      <c r="I32" s="24"/>
    </row>
    <row r="33" spans="1:14" s="19" customFormat="1" ht="18.75" customHeight="1" x14ac:dyDescent="0.2">
      <c r="A33" s="295"/>
      <c r="B33" s="24"/>
      <c r="F33" s="164"/>
      <c r="G33" s="298"/>
      <c r="H33" s="24"/>
      <c r="I33" s="24"/>
    </row>
    <row r="34" spans="1:14" s="19" customFormat="1" ht="18.75" customHeight="1" x14ac:dyDescent="0.2">
      <c r="A34" s="295"/>
      <c r="B34" s="24"/>
      <c r="F34" s="164"/>
      <c r="G34" s="298"/>
      <c r="H34" s="24"/>
      <c r="I34" s="24"/>
    </row>
    <row r="35" spans="1:14" s="19" customFormat="1" ht="18.75" customHeight="1" x14ac:dyDescent="0.2">
      <c r="A35" s="295"/>
      <c r="B35" s="24"/>
      <c r="F35" s="164"/>
      <c r="G35" s="298"/>
      <c r="H35" s="24"/>
      <c r="I35" s="24"/>
    </row>
    <row r="36" spans="1:14" s="19" customFormat="1" ht="18.75" customHeight="1" x14ac:dyDescent="0.2">
      <c r="A36" s="295"/>
      <c r="B36" s="24"/>
      <c r="F36" s="164"/>
      <c r="G36" s="298"/>
      <c r="H36" s="24"/>
      <c r="I36" s="24"/>
    </row>
    <row r="37" spans="1:14" s="19" customFormat="1" ht="18.75" customHeight="1" x14ac:dyDescent="0.2">
      <c r="A37" s="295"/>
      <c r="B37" s="24"/>
      <c r="F37" s="164"/>
      <c r="G37" s="298"/>
      <c r="H37" s="24"/>
      <c r="I37" s="24"/>
    </row>
    <row r="38" spans="1:14" s="19" customFormat="1" ht="18.75" customHeight="1" x14ac:dyDescent="0.2">
      <c r="A38" s="295"/>
      <c r="F38" s="164"/>
      <c r="G38" s="298"/>
      <c r="H38" s="24"/>
      <c r="I38" s="24"/>
    </row>
    <row r="39" spans="1:14" s="19" customFormat="1" ht="18.75" customHeight="1" x14ac:dyDescent="0.2">
      <c r="A39" s="295"/>
      <c r="G39" s="298"/>
      <c r="H39" s="24"/>
      <c r="I39" s="24"/>
    </row>
    <row r="40" spans="1:14" s="19" customFormat="1" ht="18.75" customHeight="1" x14ac:dyDescent="0.2">
      <c r="A40" s="295"/>
      <c r="G40" s="298"/>
      <c r="H40" s="24"/>
      <c r="I40" s="24"/>
    </row>
    <row r="41" spans="1:14" s="19" customFormat="1" ht="18.75" customHeight="1" x14ac:dyDescent="0.2">
      <c r="A41" s="295"/>
      <c r="G41" s="298"/>
      <c r="H41" s="24"/>
      <c r="I41" s="24"/>
    </row>
    <row r="42" spans="1:14" s="19" customFormat="1" ht="18.75" customHeight="1" x14ac:dyDescent="0.2">
      <c r="A42" s="295"/>
      <c r="G42" s="298"/>
      <c r="H42" s="24"/>
      <c r="I42" s="24"/>
    </row>
    <row r="43" spans="1:14" s="19" customFormat="1" ht="18.75" customHeight="1" x14ac:dyDescent="0.2">
      <c r="A43" s="295"/>
      <c r="G43" s="298"/>
      <c r="H43" s="24"/>
      <c r="I43" s="24"/>
    </row>
    <row r="44" spans="1:14" s="19" customFormat="1" ht="18.75" customHeight="1" x14ac:dyDescent="0.2">
      <c r="A44" s="295"/>
      <c r="G44" s="298"/>
      <c r="H44" s="24"/>
      <c r="I44" s="24"/>
    </row>
    <row r="45" spans="1:14" s="19" customFormat="1" ht="18.75" customHeight="1" x14ac:dyDescent="0.2">
      <c r="A45" s="16"/>
      <c r="G45" s="218"/>
      <c r="H45" s="24"/>
      <c r="I45" s="24"/>
      <c r="L45" s="231"/>
      <c r="M45" s="231"/>
      <c r="N45" s="231"/>
    </row>
    <row r="46" spans="1:14" s="19" customFormat="1" ht="18.75" customHeight="1" x14ac:dyDescent="0.2">
      <c r="A46" s="16"/>
      <c r="G46" s="218"/>
      <c r="H46" s="24"/>
      <c r="I46" s="24"/>
      <c r="L46" s="231"/>
      <c r="M46" s="231"/>
      <c r="N46" s="231"/>
    </row>
    <row r="47" spans="1:14" s="19" customFormat="1" ht="18.75" customHeight="1" x14ac:dyDescent="0.2">
      <c r="A47" s="295"/>
      <c r="B47" s="24"/>
      <c r="G47" s="298"/>
      <c r="H47" s="24"/>
      <c r="I47" s="24"/>
      <c r="L47" s="231"/>
      <c r="M47" s="231"/>
      <c r="N47" s="231"/>
    </row>
    <row r="48" spans="1:14" s="19" customFormat="1" ht="18.75" customHeight="1" x14ac:dyDescent="0.2">
      <c r="A48" s="295"/>
      <c r="B48" s="24"/>
      <c r="F48" s="164"/>
      <c r="G48" s="298"/>
      <c r="H48" s="24"/>
      <c r="I48" s="24"/>
      <c r="L48" s="231"/>
      <c r="M48" s="231"/>
      <c r="N48" s="231"/>
    </row>
    <row r="49" spans="1:14" s="19" customFormat="1" ht="18.75" customHeight="1" x14ac:dyDescent="0.2">
      <c r="A49" s="295"/>
      <c r="B49" s="295"/>
      <c r="C49" s="295"/>
      <c r="D49" s="295"/>
      <c r="E49" s="295"/>
      <c r="F49" s="17"/>
      <c r="G49" s="298"/>
      <c r="H49" s="24"/>
      <c r="I49" s="24"/>
      <c r="L49" s="231"/>
      <c r="M49" s="231"/>
      <c r="N49" s="231"/>
    </row>
    <row r="50" spans="1:14" s="19" customFormat="1" ht="18.75" customHeight="1" x14ac:dyDescent="0.2">
      <c r="A50" s="295"/>
      <c r="B50" s="295"/>
      <c r="C50" s="295"/>
      <c r="D50" s="295"/>
      <c r="E50" s="295"/>
      <c r="F50" s="17"/>
      <c r="G50" s="298"/>
      <c r="H50" s="24"/>
      <c r="I50" s="24"/>
      <c r="L50" s="231"/>
      <c r="M50" s="231"/>
      <c r="N50" s="231"/>
    </row>
    <row r="51" spans="1:14" s="19" customFormat="1" ht="18.75" customHeight="1" x14ac:dyDescent="0.2">
      <c r="A51" s="16"/>
      <c r="B51" s="16"/>
      <c r="C51" s="16"/>
      <c r="D51" s="16"/>
      <c r="E51" s="16"/>
      <c r="F51" s="17"/>
      <c r="G51" s="218"/>
      <c r="H51" s="24"/>
      <c r="I51" s="24"/>
      <c r="L51" s="231"/>
      <c r="M51" s="231"/>
      <c r="N51" s="231"/>
    </row>
    <row r="52" spans="1:14" s="19" customFormat="1" ht="18.75" customHeight="1" x14ac:dyDescent="0.2">
      <c r="A52" s="16"/>
      <c r="B52" s="16"/>
      <c r="C52" s="16"/>
      <c r="D52" s="16"/>
      <c r="E52" s="16"/>
      <c r="F52" s="17"/>
      <c r="G52" s="218"/>
      <c r="H52" s="24"/>
      <c r="I52" s="24"/>
      <c r="L52" s="231"/>
      <c r="M52" s="231"/>
      <c r="N52" s="231"/>
    </row>
    <row r="53" spans="1:14" s="19" customFormat="1" ht="18.75" customHeight="1" x14ac:dyDescent="0.2">
      <c r="A53" s="16"/>
      <c r="B53" s="16"/>
      <c r="C53" s="16"/>
      <c r="D53" s="16"/>
      <c r="E53" s="16"/>
      <c r="F53" s="17"/>
      <c r="G53" s="218"/>
      <c r="H53" s="24"/>
      <c r="I53" s="24"/>
      <c r="L53" s="231"/>
      <c r="M53" s="231"/>
      <c r="N53" s="231"/>
    </row>
    <row r="54" spans="1:14" s="19" customFormat="1" ht="18.75" hidden="1" customHeight="1" x14ac:dyDescent="0.2">
      <c r="A54" s="16"/>
      <c r="B54" s="16"/>
      <c r="C54" s="16"/>
      <c r="D54" s="16"/>
      <c r="E54" s="16"/>
      <c r="F54" s="17"/>
      <c r="G54" s="218"/>
      <c r="H54" s="24"/>
      <c r="I54" s="24"/>
      <c r="L54" s="231"/>
      <c r="M54" s="231"/>
      <c r="N54" s="231"/>
    </row>
    <row r="55" spans="1:14" s="19" customFormat="1" ht="18.75" customHeight="1" x14ac:dyDescent="0.2">
      <c r="A55" s="16"/>
      <c r="B55" s="16"/>
      <c r="C55" s="16"/>
      <c r="D55" s="16"/>
      <c r="E55" s="16"/>
      <c r="F55" s="17"/>
      <c r="G55" s="218"/>
      <c r="H55" s="24"/>
      <c r="I55" s="24"/>
      <c r="L55" s="231"/>
      <c r="M55" s="231"/>
      <c r="N55" s="231"/>
    </row>
    <row r="56" spans="1:14" s="19" customFormat="1" ht="18.75" customHeight="1" x14ac:dyDescent="0.2">
      <c r="A56" s="16"/>
      <c r="B56" s="16"/>
      <c r="C56" s="16"/>
      <c r="D56" s="16"/>
      <c r="E56" s="16"/>
      <c r="F56" s="17"/>
      <c r="G56" s="218"/>
      <c r="H56" s="24"/>
      <c r="I56" s="24"/>
    </row>
    <row r="57" spans="1:14" s="19" customFormat="1" ht="18.75" customHeight="1" x14ac:dyDescent="0.25">
      <c r="A57" s="21"/>
      <c r="B57" s="636" t="s">
        <v>82</v>
      </c>
      <c r="C57" s="636"/>
      <c r="D57" s="636"/>
      <c r="E57" s="21"/>
      <c r="F57" s="347">
        <f>SUM(F16:F55)</f>
        <v>33947259</v>
      </c>
      <c r="G57" s="291"/>
      <c r="H57" s="24"/>
      <c r="I57" s="24"/>
    </row>
    <row r="58" spans="1:14" s="19" customFormat="1" ht="18.75" customHeight="1" x14ac:dyDescent="0.2">
      <c r="A58" s="22" t="s">
        <v>4</v>
      </c>
      <c r="B58" s="22"/>
      <c r="C58" s="22"/>
      <c r="D58" s="22"/>
      <c r="E58" s="22"/>
      <c r="F58" s="22"/>
      <c r="G58" s="23"/>
      <c r="H58" s="24"/>
      <c r="I58" s="24"/>
    </row>
    <row r="59" spans="1:14" s="24" customFormat="1" ht="16.5" customHeight="1" x14ac:dyDescent="0.2">
      <c r="A59" s="23"/>
      <c r="B59" s="23"/>
      <c r="C59" s="23"/>
      <c r="D59" s="23"/>
      <c r="E59" s="23"/>
      <c r="F59" s="176">
        <f>+'BZA DE COMP'!H17-BANCOS!F57</f>
        <v>0</v>
      </c>
      <c r="G59" s="25"/>
    </row>
    <row r="60" spans="1:14" x14ac:dyDescent="0.2">
      <c r="A60" s="6"/>
      <c r="B60" s="6"/>
      <c r="C60" s="6"/>
      <c r="D60" s="6"/>
      <c r="E60" s="6"/>
      <c r="F60" s="6"/>
      <c r="G60" s="6"/>
    </row>
    <row r="61" spans="1:14" ht="15" x14ac:dyDescent="0.2">
      <c r="A61" s="6"/>
      <c r="B61" s="6"/>
      <c r="C61" s="6"/>
      <c r="D61" s="6"/>
      <c r="E61" s="6"/>
      <c r="F61" s="26"/>
      <c r="G61" s="6"/>
    </row>
    <row r="62" spans="1:14" x14ac:dyDescent="0.2">
      <c r="A62" s="6"/>
      <c r="B62" s="6"/>
      <c r="C62" s="6"/>
      <c r="D62" s="6"/>
      <c r="E62" s="6"/>
      <c r="F62" s="6"/>
      <c r="G62" s="6"/>
    </row>
    <row r="63" spans="1:14" x14ac:dyDescent="0.2">
      <c r="A63" s="6"/>
      <c r="B63" s="6"/>
      <c r="C63" s="6"/>
      <c r="D63" s="6"/>
      <c r="E63" s="6"/>
      <c r="F63" s="10"/>
      <c r="G63" s="6"/>
    </row>
    <row r="64" spans="1:14" x14ac:dyDescent="0.2">
      <c r="A64" s="6"/>
      <c r="B64" s="6"/>
      <c r="C64" s="6"/>
      <c r="D64" s="6"/>
      <c r="E64" s="6"/>
      <c r="F64" s="10"/>
      <c r="G64" s="6"/>
    </row>
    <row r="65" spans="1:7" x14ac:dyDescent="0.2">
      <c r="A65" s="6"/>
      <c r="B65" s="6"/>
      <c r="C65" s="6"/>
      <c r="D65" s="6"/>
      <c r="E65" s="6"/>
      <c r="F65" s="6"/>
      <c r="G65" s="6"/>
    </row>
    <row r="66" spans="1:7" x14ac:dyDescent="0.2">
      <c r="A66" s="6"/>
      <c r="B66" s="6"/>
      <c r="C66" s="6"/>
      <c r="D66" s="6"/>
      <c r="E66" s="6"/>
      <c r="F66" s="6"/>
      <c r="G66" s="6"/>
    </row>
    <row r="67" spans="1:7" x14ac:dyDescent="0.2">
      <c r="A67" s="6"/>
      <c r="B67" s="6"/>
      <c r="C67" s="6"/>
      <c r="D67" s="6"/>
      <c r="E67" s="6"/>
      <c r="F67" s="10"/>
      <c r="G67" s="6"/>
    </row>
    <row r="68" spans="1:7" x14ac:dyDescent="0.2">
      <c r="A68" s="6"/>
      <c r="B68" s="6"/>
      <c r="C68" s="6"/>
      <c r="D68" s="6"/>
      <c r="E68" s="6"/>
      <c r="F68" s="6"/>
      <c r="G68" s="6"/>
    </row>
    <row r="69" spans="1:7" x14ac:dyDescent="0.2">
      <c r="A69" s="6"/>
      <c r="B69" s="6"/>
      <c r="C69" s="6"/>
      <c r="D69" s="6"/>
      <c r="E69" s="6"/>
      <c r="F69" s="6"/>
      <c r="G69" s="6"/>
    </row>
    <row r="70" spans="1:7" x14ac:dyDescent="0.2">
      <c r="A70" s="6"/>
      <c r="B70" s="6"/>
      <c r="C70" s="6"/>
      <c r="D70" s="6"/>
      <c r="E70" s="6"/>
      <c r="F70" s="6"/>
      <c r="G70" s="6"/>
    </row>
    <row r="71" spans="1:7" x14ac:dyDescent="0.2">
      <c r="A71" s="6"/>
      <c r="B71" s="6"/>
      <c r="C71" s="6"/>
      <c r="D71" s="6"/>
      <c r="E71" s="6"/>
      <c r="F71" s="6"/>
      <c r="G71" s="6"/>
    </row>
    <row r="72" spans="1:7" x14ac:dyDescent="0.2">
      <c r="A72" s="6"/>
      <c r="B72" s="6"/>
      <c r="C72" s="6"/>
      <c r="D72" s="6"/>
      <c r="E72" s="6"/>
      <c r="F72" s="6"/>
      <c r="G72" s="6"/>
    </row>
    <row r="73" spans="1:7" x14ac:dyDescent="0.2">
      <c r="A73" s="6"/>
      <c r="B73" s="6"/>
      <c r="C73" s="6"/>
      <c r="D73" s="6"/>
      <c r="E73" s="6"/>
      <c r="F73" s="6"/>
      <c r="G73" s="6"/>
    </row>
    <row r="74" spans="1:7" x14ac:dyDescent="0.2">
      <c r="A74" s="6"/>
      <c r="B74" s="6"/>
      <c r="C74" s="6"/>
      <c r="D74" s="6"/>
      <c r="E74" s="6"/>
      <c r="F74" s="6"/>
      <c r="G74" s="6"/>
    </row>
    <row r="75" spans="1:7" x14ac:dyDescent="0.2">
      <c r="A75" s="6"/>
      <c r="B75" s="6"/>
      <c r="C75" s="6"/>
      <c r="D75" s="6"/>
      <c r="E75" s="6"/>
      <c r="F75" s="6"/>
      <c r="G75" s="6"/>
    </row>
    <row r="76" spans="1:7" x14ac:dyDescent="0.2">
      <c r="A76" s="6"/>
      <c r="B76" s="6"/>
      <c r="C76" s="6"/>
      <c r="D76" s="6"/>
      <c r="E76" s="6"/>
      <c r="F76" s="6"/>
      <c r="G76" s="6"/>
    </row>
    <row r="77" spans="1:7" x14ac:dyDescent="0.2">
      <c r="A77" s="6"/>
      <c r="B77" s="6"/>
      <c r="C77" s="6"/>
      <c r="D77" s="6"/>
      <c r="E77" s="6"/>
      <c r="F77" s="6"/>
      <c r="G77" s="6"/>
    </row>
    <row r="78" spans="1:7" x14ac:dyDescent="0.2">
      <c r="A78" s="6"/>
      <c r="B78" s="6"/>
      <c r="C78" s="6"/>
      <c r="D78" s="6"/>
      <c r="E78" s="6"/>
      <c r="F78" s="6"/>
      <c r="G78" s="6"/>
    </row>
    <row r="79" spans="1:7" x14ac:dyDescent="0.2">
      <c r="A79" s="6"/>
      <c r="B79" s="6"/>
      <c r="C79" s="6"/>
      <c r="D79" s="6"/>
      <c r="E79" s="6"/>
      <c r="F79" s="6"/>
      <c r="G79" s="6"/>
    </row>
    <row r="80" spans="1:7" x14ac:dyDescent="0.2">
      <c r="A80" s="6"/>
      <c r="B80" s="6"/>
      <c r="C80" s="6"/>
      <c r="D80" s="6"/>
      <c r="E80" s="6"/>
      <c r="F80" s="6"/>
      <c r="G80" s="6"/>
    </row>
    <row r="81" spans="1:8" x14ac:dyDescent="0.2">
      <c r="A81" s="6"/>
      <c r="B81" s="6"/>
      <c r="C81" s="6"/>
      <c r="D81" s="6"/>
      <c r="E81" s="6"/>
      <c r="F81" s="6"/>
      <c r="G81" s="6"/>
    </row>
    <row r="82" spans="1:8" x14ac:dyDescent="0.2">
      <c r="A82" s="6"/>
      <c r="B82" s="6"/>
      <c r="C82" s="6"/>
      <c r="D82" s="6"/>
      <c r="E82" s="6"/>
      <c r="F82" s="6"/>
      <c r="G82" s="6"/>
    </row>
    <row r="83" spans="1:8" x14ac:dyDescent="0.2">
      <c r="A83" s="6"/>
      <c r="B83" s="6"/>
      <c r="C83" s="6"/>
      <c r="D83" s="6"/>
      <c r="E83" s="6"/>
      <c r="F83" s="6"/>
      <c r="G83" s="6"/>
    </row>
    <row r="84" spans="1:8" x14ac:dyDescent="0.2">
      <c r="A84" s="6"/>
      <c r="B84" s="6"/>
      <c r="C84" s="6"/>
      <c r="D84" s="6"/>
      <c r="E84" s="6"/>
      <c r="F84" s="6"/>
      <c r="G84" s="6"/>
    </row>
    <row r="85" spans="1:8" x14ac:dyDescent="0.2">
      <c r="A85" s="6"/>
      <c r="B85" s="6"/>
      <c r="C85" s="6"/>
      <c r="D85" s="6"/>
      <c r="E85" s="6"/>
      <c r="F85" s="6"/>
      <c r="G85" s="6"/>
    </row>
    <row r="86" spans="1:8" x14ac:dyDescent="0.2">
      <c r="A86" s="6"/>
      <c r="B86" s="6"/>
      <c r="C86" s="6"/>
      <c r="D86" s="6"/>
      <c r="E86" s="6"/>
      <c r="F86" s="6"/>
      <c r="G86" s="6"/>
    </row>
    <row r="87" spans="1:8" x14ac:dyDescent="0.2">
      <c r="A87" s="6"/>
      <c r="B87" s="6"/>
      <c r="C87" s="6"/>
      <c r="D87" s="6"/>
      <c r="E87" s="6"/>
      <c r="F87" s="6"/>
      <c r="G87" s="6"/>
    </row>
    <row r="88" spans="1:8" x14ac:dyDescent="0.2">
      <c r="A88" s="6"/>
      <c r="B88" s="6"/>
      <c r="C88" s="6"/>
      <c r="D88" s="6"/>
      <c r="E88" s="6"/>
      <c r="F88" s="6"/>
      <c r="G88" s="6"/>
    </row>
    <row r="89" spans="1:8" x14ac:dyDescent="0.2">
      <c r="A89" s="6"/>
      <c r="B89" s="6"/>
      <c r="C89" s="6"/>
      <c r="D89" s="6"/>
      <c r="E89" s="6"/>
      <c r="F89" s="6"/>
      <c r="G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11"/>
      <c r="B91" s="11"/>
      <c r="C91" s="11"/>
      <c r="D91" s="11"/>
      <c r="E91" s="11"/>
      <c r="F91" s="11"/>
      <c r="G91" s="11"/>
    </row>
    <row r="92" spans="1:8" s="1" customFormat="1" x14ac:dyDescent="0.2">
      <c r="A92" s="7"/>
      <c r="B92" s="7"/>
      <c r="C92" s="7"/>
      <c r="D92" s="7"/>
      <c r="E92" s="7"/>
      <c r="F92" s="7"/>
      <c r="G92" s="7"/>
    </row>
    <row r="93" spans="1:8" s="1" customFormat="1" x14ac:dyDescent="0.2">
      <c r="A93" s="9"/>
      <c r="B93" s="9"/>
      <c r="C93" s="9"/>
      <c r="D93" s="9"/>
      <c r="E93" s="9"/>
      <c r="F93" s="9"/>
      <c r="G93" s="9"/>
    </row>
    <row r="94" spans="1:8" s="1" customFormat="1" ht="15" x14ac:dyDescent="0.25">
      <c r="A94" s="12"/>
      <c r="B94" s="12"/>
      <c r="C94" s="12"/>
      <c r="D94" s="12"/>
      <c r="E94" s="12"/>
      <c r="F94" s="12"/>
      <c r="G94" s="12"/>
    </row>
    <row r="95" spans="1:8" s="8" customFormat="1" x14ac:dyDescent="0.2">
      <c r="A95" s="9"/>
      <c r="B95" s="9"/>
      <c r="C95" s="9"/>
      <c r="D95" s="9"/>
      <c r="E95" s="9"/>
      <c r="F95" s="9"/>
      <c r="G95" s="9"/>
      <c r="H95" s="13"/>
    </row>
    <row r="96" spans="1:8" s="1" customFormat="1" x14ac:dyDescent="0.2">
      <c r="A96" s="14"/>
      <c r="B96" s="14"/>
      <c r="C96" s="14"/>
      <c r="D96" s="14"/>
      <c r="E96" s="14"/>
      <c r="F96" s="14"/>
      <c r="G96" s="14"/>
    </row>
    <row r="97" spans="1:7" s="1" customFormat="1" x14ac:dyDescent="0.2">
      <c r="A97" s="15"/>
      <c r="B97" s="15"/>
      <c r="C97" s="15"/>
      <c r="D97" s="15"/>
      <c r="E97" s="15"/>
      <c r="F97" s="15"/>
      <c r="G97" s="15"/>
    </row>
    <row r="98" spans="1:7" s="1" customFormat="1" x14ac:dyDescent="0.2">
      <c r="A98" s="15"/>
      <c r="B98" s="15"/>
      <c r="C98" s="15"/>
      <c r="D98" s="15"/>
      <c r="E98" s="15"/>
      <c r="F98" s="15"/>
      <c r="G98" s="15"/>
    </row>
    <row r="99" spans="1:7" x14ac:dyDescent="0.2">
      <c r="A99" s="11"/>
      <c r="B99" s="11"/>
      <c r="C99" s="11"/>
      <c r="D99" s="11"/>
      <c r="E99" s="11"/>
      <c r="F99" s="11"/>
      <c r="G99" s="11"/>
    </row>
    <row r="100" spans="1:7" x14ac:dyDescent="0.2">
      <c r="A100" s="11"/>
      <c r="B100" s="11"/>
      <c r="C100" s="11"/>
      <c r="D100" s="11"/>
      <c r="E100" s="11"/>
      <c r="F100" s="11"/>
      <c r="G100" s="11"/>
    </row>
    <row r="101" spans="1:7" x14ac:dyDescent="0.2">
      <c r="A101" s="11"/>
      <c r="B101" s="11"/>
      <c r="C101" s="11"/>
      <c r="D101" s="11"/>
      <c r="E101" s="11"/>
      <c r="F101" s="11"/>
      <c r="G101" s="11"/>
    </row>
    <row r="102" spans="1:7" x14ac:dyDescent="0.2">
      <c r="A102" s="11"/>
      <c r="B102" s="11"/>
      <c r="C102" s="11"/>
      <c r="D102" s="11"/>
      <c r="E102" s="11"/>
      <c r="F102" s="11"/>
      <c r="G102" s="11"/>
    </row>
    <row r="103" spans="1:7" x14ac:dyDescent="0.2">
      <c r="A103" s="11"/>
      <c r="B103" s="11"/>
      <c r="C103" s="11"/>
      <c r="D103" s="11"/>
      <c r="E103" s="11"/>
      <c r="F103" s="11"/>
      <c r="G103" s="11"/>
    </row>
    <row r="104" spans="1:7" x14ac:dyDescent="0.2">
      <c r="A104" s="11"/>
      <c r="B104" s="11"/>
      <c r="C104" s="11"/>
      <c r="D104" s="11"/>
      <c r="E104" s="11"/>
      <c r="F104" s="11"/>
      <c r="G104" s="11"/>
    </row>
    <row r="105" spans="1:7" x14ac:dyDescent="0.2">
      <c r="A105" s="11"/>
      <c r="B105" s="11"/>
      <c r="C105" s="11"/>
      <c r="D105" s="11"/>
      <c r="E105" s="11"/>
      <c r="F105" s="11"/>
      <c r="G105" s="11"/>
    </row>
    <row r="106" spans="1:7" x14ac:dyDescent="0.2">
      <c r="A106" s="11"/>
      <c r="B106" s="11"/>
      <c r="C106" s="11"/>
      <c r="D106" s="11"/>
      <c r="E106" s="11"/>
      <c r="F106" s="11"/>
      <c r="G106" s="11"/>
    </row>
    <row r="107" spans="1:7" x14ac:dyDescent="0.2">
      <c r="A107" s="11"/>
      <c r="B107" s="11"/>
      <c r="C107" s="11"/>
      <c r="D107" s="11"/>
      <c r="E107" s="11"/>
      <c r="F107" s="11"/>
      <c r="G107" s="11"/>
    </row>
  </sheetData>
  <mergeCells count="10">
    <mergeCell ref="A3:G3"/>
    <mergeCell ref="A4:G4"/>
    <mergeCell ref="B13:B15"/>
    <mergeCell ref="B57:D57"/>
    <mergeCell ref="F13:F15"/>
    <mergeCell ref="A10:G10"/>
    <mergeCell ref="D13:D15"/>
    <mergeCell ref="A7:G7"/>
    <mergeCell ref="A8:G8"/>
    <mergeCell ref="A9:G9"/>
  </mergeCells>
  <phoneticPr fontId="0" type="noConversion"/>
  <printOptions horizontalCentered="1" verticalCentered="1"/>
  <pageMargins left="0.78740157480314965" right="0.78740157480314965" top="0.59055118110236227" bottom="0.59055118110236227" header="0" footer="0"/>
  <pageSetup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23"/>
  <sheetViews>
    <sheetView topLeftCell="A46" zoomScale="85" zoomScaleNormal="85" zoomScaleSheetLayoutView="80" workbookViewId="0">
      <selection activeCell="E59" sqref="A1:F59"/>
    </sheetView>
  </sheetViews>
  <sheetFormatPr baseColWidth="10" defaultRowHeight="12.75" x14ac:dyDescent="0.2"/>
  <cols>
    <col min="1" max="2" width="4.28515625" customWidth="1"/>
    <col min="3" max="3" width="88.5703125" customWidth="1"/>
    <col min="4" max="4" width="4.28515625" customWidth="1"/>
    <col min="5" max="5" width="21.42578125" customWidth="1"/>
    <col min="6" max="6" width="4.28515625" customWidth="1"/>
    <col min="7" max="7" width="23.7109375" bestFit="1" customWidth="1"/>
    <col min="8" max="8" width="34.28515625" customWidth="1"/>
    <col min="9" max="9" width="5" customWidth="1"/>
    <col min="10" max="10" width="13.5703125" style="275" bestFit="1" customWidth="1"/>
    <col min="11" max="11" width="13.85546875" style="275" bestFit="1" customWidth="1"/>
    <col min="12" max="12" width="18.28515625" style="275" customWidth="1"/>
    <col min="13" max="14" width="11.42578125" style="369"/>
  </cols>
  <sheetData>
    <row r="2" spans="1:14" ht="15" customHeight="1" x14ac:dyDescent="0.2"/>
    <row r="3" spans="1:14" ht="25.5" customHeight="1" x14ac:dyDescent="0.2">
      <c r="A3" s="634" t="s">
        <v>0</v>
      </c>
      <c r="B3" s="634"/>
      <c r="C3" s="634"/>
      <c r="D3" s="634"/>
      <c r="E3" s="634"/>
      <c r="F3" s="634"/>
    </row>
    <row r="4" spans="1:14" ht="25.5" customHeight="1" x14ac:dyDescent="0.2">
      <c r="A4" s="635" t="s">
        <v>106</v>
      </c>
      <c r="B4" s="635"/>
      <c r="C4" s="635"/>
      <c r="D4" s="635"/>
      <c r="E4" s="635"/>
      <c r="F4" s="635"/>
    </row>
    <row r="5" spans="1:14" ht="15" customHeight="1" x14ac:dyDescent="0.25">
      <c r="A5" s="2"/>
      <c r="B5" s="2"/>
      <c r="C5" s="2"/>
      <c r="D5" s="2"/>
      <c r="E5" s="2"/>
      <c r="F5" s="2"/>
    </row>
    <row r="6" spans="1:14" ht="15" customHeight="1" x14ac:dyDescent="0.25">
      <c r="A6" s="2"/>
      <c r="B6" s="2"/>
      <c r="C6" s="2"/>
      <c r="D6" s="2"/>
      <c r="E6" s="2"/>
      <c r="F6" s="2"/>
    </row>
    <row r="7" spans="1:14" ht="15" customHeight="1" x14ac:dyDescent="0.25">
      <c r="A7" s="638" t="s">
        <v>663</v>
      </c>
      <c r="B7" s="638"/>
      <c r="C7" s="638"/>
      <c r="D7" s="638"/>
      <c r="E7" s="638"/>
      <c r="F7" s="638"/>
    </row>
    <row r="8" spans="1:14" ht="15" customHeight="1" x14ac:dyDescent="0.25">
      <c r="A8" s="638" t="s">
        <v>970</v>
      </c>
      <c r="B8" s="638"/>
      <c r="C8" s="638"/>
      <c r="D8" s="638"/>
      <c r="E8" s="638"/>
      <c r="F8" s="638"/>
    </row>
    <row r="9" spans="1:14" ht="15" customHeight="1" x14ac:dyDescent="0.25">
      <c r="A9" s="638" t="s">
        <v>1</v>
      </c>
      <c r="B9" s="638"/>
      <c r="C9" s="638"/>
      <c r="D9" s="638"/>
      <c r="E9" s="638"/>
      <c r="F9" s="638"/>
    </row>
    <row r="10" spans="1:14" ht="15" customHeight="1" x14ac:dyDescent="0.2">
      <c r="A10" s="637"/>
      <c r="B10" s="637"/>
      <c r="C10" s="637"/>
      <c r="D10" s="637"/>
      <c r="E10" s="637"/>
      <c r="F10" s="637"/>
      <c r="M10" s="367"/>
    </row>
    <row r="11" spans="1:14" ht="18.75" customHeight="1" x14ac:dyDescent="0.2">
      <c r="A11" s="511"/>
      <c r="B11" s="509"/>
      <c r="C11" s="629" t="s">
        <v>43</v>
      </c>
      <c r="D11" s="5"/>
      <c r="E11" s="629" t="s">
        <v>5</v>
      </c>
      <c r="F11" s="513"/>
      <c r="M11" s="367"/>
    </row>
    <row r="12" spans="1:14" ht="18.75" customHeight="1" x14ac:dyDescent="0.2">
      <c r="A12" s="511"/>
      <c r="B12" s="512"/>
      <c r="C12" s="629"/>
      <c r="D12" s="5"/>
      <c r="E12" s="629" t="s">
        <v>5</v>
      </c>
      <c r="F12" s="513"/>
      <c r="M12" s="367"/>
    </row>
    <row r="13" spans="1:14" ht="18.75" customHeight="1" x14ac:dyDescent="0.2">
      <c r="A13" s="511"/>
      <c r="B13" s="512"/>
      <c r="C13" s="629"/>
      <c r="D13" s="5"/>
      <c r="E13" s="629"/>
      <c r="F13" s="513"/>
      <c r="M13" s="367"/>
    </row>
    <row r="14" spans="1:14" s="19" customFormat="1" ht="18.75" customHeight="1" x14ac:dyDescent="0.2">
      <c r="A14" s="501"/>
      <c r="B14" s="501"/>
      <c r="C14" s="501"/>
      <c r="D14" s="501"/>
      <c r="E14" s="502"/>
      <c r="F14" s="503"/>
      <c r="J14" s="381"/>
      <c r="K14" s="381"/>
      <c r="L14" s="381"/>
      <c r="M14" s="367"/>
      <c r="N14" s="231"/>
    </row>
    <row r="15" spans="1:14" s="19" customFormat="1" ht="19.5" customHeight="1" x14ac:dyDescent="0.25">
      <c r="A15" s="501"/>
      <c r="B15" s="504" t="s">
        <v>116</v>
      </c>
      <c r="C15" s="505"/>
      <c r="D15" s="505"/>
      <c r="E15" s="506"/>
      <c r="F15" s="503"/>
      <c r="J15" s="381"/>
      <c r="K15" s="381"/>
      <c r="L15" s="381"/>
      <c r="M15" s="367"/>
      <c r="N15" s="231"/>
    </row>
    <row r="16" spans="1:14" s="19" customFormat="1" ht="19.5" customHeight="1" x14ac:dyDescent="0.2">
      <c r="A16" s="501"/>
      <c r="B16" s="501"/>
      <c r="C16" s="501" t="s">
        <v>863</v>
      </c>
      <c r="D16" s="501"/>
      <c r="E16" s="507">
        <v>73440</v>
      </c>
      <c r="F16" s="503"/>
      <c r="G16" s="164"/>
      <c r="H16" s="553"/>
      <c r="I16"/>
      <c r="J16" s="275"/>
      <c r="K16" s="382"/>
      <c r="L16" s="11"/>
      <c r="M16" s="367"/>
      <c r="N16" s="231"/>
    </row>
    <row r="17" spans="1:14" s="19" customFormat="1" ht="19.5" customHeight="1" x14ac:dyDescent="0.2">
      <c r="A17" s="501"/>
      <c r="B17" s="501"/>
      <c r="C17" s="501" t="s">
        <v>864</v>
      </c>
      <c r="D17" s="501"/>
      <c r="E17" s="507">
        <v>32416</v>
      </c>
      <c r="F17" s="503"/>
      <c r="G17" s="292"/>
      <c r="H17" s="553"/>
      <c r="I17"/>
      <c r="J17" s="275"/>
      <c r="K17" s="382"/>
      <c r="L17" s="11"/>
      <c r="M17" s="367"/>
      <c r="N17" s="231"/>
    </row>
    <row r="18" spans="1:14" s="19" customFormat="1" ht="19.5" customHeight="1" x14ac:dyDescent="0.2">
      <c r="A18" s="501"/>
      <c r="B18" s="501"/>
      <c r="C18" s="508" t="s">
        <v>865</v>
      </c>
      <c r="D18" s="501"/>
      <c r="E18" s="502">
        <v>9000</v>
      </c>
      <c r="F18" s="503"/>
      <c r="G18" s="292"/>
      <c r="H18" s="553"/>
      <c r="I18"/>
      <c r="J18" s="275"/>
      <c r="K18" s="382"/>
      <c r="L18" s="11"/>
      <c r="M18" s="367"/>
      <c r="N18" s="231"/>
    </row>
    <row r="19" spans="1:14" s="19" customFormat="1" ht="19.5" customHeight="1" x14ac:dyDescent="0.2">
      <c r="A19" s="501"/>
      <c r="B19" s="501"/>
      <c r="C19" s="501" t="s">
        <v>866</v>
      </c>
      <c r="D19" s="501"/>
      <c r="E19" s="507">
        <v>50000</v>
      </c>
      <c r="F19" s="503"/>
      <c r="G19" s="292"/>
      <c r="H19" s="553"/>
      <c r="I19" s="11"/>
      <c r="J19" s="382"/>
      <c r="K19" s="382"/>
      <c r="L19" s="11"/>
      <c r="M19" s="367"/>
      <c r="N19" s="231"/>
    </row>
    <row r="20" spans="1:14" s="19" customFormat="1" ht="19.5" customHeight="1" x14ac:dyDescent="0.2">
      <c r="A20" s="501"/>
      <c r="B20" s="501"/>
      <c r="C20" s="501" t="s">
        <v>942</v>
      </c>
      <c r="D20" s="501"/>
      <c r="E20" s="507">
        <v>5000</v>
      </c>
      <c r="F20" s="503"/>
      <c r="G20" s="292"/>
      <c r="H20" s="553"/>
      <c r="I20"/>
      <c r="J20" s="275"/>
      <c r="K20" s="382"/>
      <c r="L20" s="11"/>
      <c r="M20" s="367"/>
      <c r="N20" s="231"/>
    </row>
    <row r="21" spans="1:14" s="19" customFormat="1" ht="19.5" customHeight="1" x14ac:dyDescent="0.2">
      <c r="A21" s="501"/>
      <c r="B21" s="501"/>
      <c r="C21" s="508" t="s">
        <v>867</v>
      </c>
      <c r="D21" s="501"/>
      <c r="E21" s="502">
        <v>1400</v>
      </c>
      <c r="F21" s="503"/>
      <c r="G21" s="164"/>
      <c r="H21" s="553"/>
      <c r="I21"/>
      <c r="J21" s="275"/>
      <c r="K21" s="382"/>
      <c r="L21" s="11"/>
      <c r="M21" s="367"/>
      <c r="N21" s="231"/>
    </row>
    <row r="22" spans="1:14" s="19" customFormat="1" ht="19.5" customHeight="1" x14ac:dyDescent="0.2">
      <c r="A22" s="501"/>
      <c r="B22" s="501"/>
      <c r="C22" s="508" t="s">
        <v>868</v>
      </c>
      <c r="D22" s="501"/>
      <c r="E22" s="502">
        <v>162</v>
      </c>
      <c r="F22" s="503"/>
      <c r="G22" s="164"/>
      <c r="H22" s="553"/>
      <c r="I22" s="11"/>
      <c r="J22" s="382"/>
      <c r="K22" s="382"/>
      <c r="L22" s="11"/>
      <c r="M22" s="367"/>
      <c r="N22" s="231"/>
    </row>
    <row r="23" spans="1:14" s="19" customFormat="1" ht="19.5" customHeight="1" x14ac:dyDescent="0.2">
      <c r="A23" s="501"/>
      <c r="B23" s="501"/>
      <c r="C23" s="508" t="s">
        <v>869</v>
      </c>
      <c r="D23" s="501"/>
      <c r="E23" s="502">
        <v>4000</v>
      </c>
      <c r="F23" s="503"/>
      <c r="G23" s="164"/>
      <c r="H23" s="553"/>
      <c r="I23" s="11"/>
      <c r="J23" s="382"/>
      <c r="K23" s="382"/>
      <c r="L23" s="11"/>
      <c r="M23" s="367"/>
      <c r="N23" s="231"/>
    </row>
    <row r="24" spans="1:14" s="19" customFormat="1" ht="19.5" customHeight="1" x14ac:dyDescent="0.2">
      <c r="A24" s="501"/>
      <c r="B24" s="501"/>
      <c r="C24" s="501" t="s">
        <v>870</v>
      </c>
      <c r="D24" s="501"/>
      <c r="E24" s="537">
        <v>824</v>
      </c>
      <c r="F24" s="503"/>
      <c r="G24" s="164"/>
      <c r="H24" s="553"/>
      <c r="I24"/>
      <c r="J24" s="275"/>
      <c r="K24" s="382"/>
      <c r="L24" s="11"/>
      <c r="M24" s="367"/>
      <c r="N24" s="231"/>
    </row>
    <row r="25" spans="1:14" s="19" customFormat="1" ht="19.5" customHeight="1" x14ac:dyDescent="0.2">
      <c r="A25" s="501"/>
      <c r="B25" s="501"/>
      <c r="C25" s="501" t="s">
        <v>871</v>
      </c>
      <c r="D25" s="501"/>
      <c r="E25" s="507">
        <v>20000</v>
      </c>
      <c r="F25" s="503"/>
      <c r="G25" s="164"/>
      <c r="H25" s="553"/>
      <c r="I25"/>
      <c r="J25" s="275"/>
      <c r="K25" s="382"/>
      <c r="L25" s="11"/>
      <c r="M25" s="367"/>
      <c r="N25" s="231"/>
    </row>
    <row r="26" spans="1:14" s="19" customFormat="1" ht="19.5" customHeight="1" x14ac:dyDescent="0.2">
      <c r="A26" s="501"/>
      <c r="B26" s="501"/>
      <c r="C26" s="508" t="s">
        <v>872</v>
      </c>
      <c r="D26" s="501"/>
      <c r="E26" s="502">
        <v>4500</v>
      </c>
      <c r="F26" s="503"/>
      <c r="G26" s="164"/>
      <c r="H26" s="553"/>
      <c r="I26"/>
      <c r="J26" s="275"/>
      <c r="K26" s="382"/>
      <c r="L26" s="11"/>
      <c r="M26" s="367"/>
      <c r="N26" s="231"/>
    </row>
    <row r="27" spans="1:14" s="19" customFormat="1" ht="19.5" customHeight="1" x14ac:dyDescent="0.2">
      <c r="A27" s="501"/>
      <c r="B27" s="501"/>
      <c r="C27" s="501" t="s">
        <v>873</v>
      </c>
      <c r="D27" s="501"/>
      <c r="E27" s="507">
        <v>13523</v>
      </c>
      <c r="F27" s="503"/>
      <c r="G27" s="164"/>
      <c r="H27" s="553"/>
      <c r="I27"/>
      <c r="J27" s="275"/>
      <c r="K27" s="382"/>
      <c r="L27" s="11"/>
      <c r="M27" s="367"/>
      <c r="N27" s="231"/>
    </row>
    <row r="28" spans="1:14" s="19" customFormat="1" ht="19.5" customHeight="1" x14ac:dyDescent="0.2">
      <c r="A28" s="501"/>
      <c r="B28" s="501"/>
      <c r="C28" s="501" t="s">
        <v>874</v>
      </c>
      <c r="D28" s="501"/>
      <c r="E28" s="507">
        <v>3000</v>
      </c>
      <c r="F28" s="503"/>
      <c r="G28" s="164"/>
      <c r="H28" s="553"/>
      <c r="I28" s="11"/>
      <c r="J28" s="382"/>
      <c r="K28" s="382"/>
      <c r="L28" s="11"/>
      <c r="M28" s="367"/>
      <c r="N28" s="231"/>
    </row>
    <row r="29" spans="1:14" s="19" customFormat="1" ht="19.5" customHeight="1" x14ac:dyDescent="0.2">
      <c r="A29" s="501"/>
      <c r="B29" s="501"/>
      <c r="C29" s="508" t="s">
        <v>875</v>
      </c>
      <c r="D29" s="501"/>
      <c r="E29" s="502">
        <v>4948</v>
      </c>
      <c r="F29" s="503"/>
      <c r="G29" s="164"/>
      <c r="H29" s="553"/>
      <c r="I29" s="11"/>
      <c r="J29" s="382"/>
      <c r="K29" s="382"/>
      <c r="L29" s="11"/>
      <c r="M29" s="367"/>
      <c r="N29" s="231"/>
    </row>
    <row r="30" spans="1:14" s="19" customFormat="1" ht="19.5" customHeight="1" x14ac:dyDescent="0.2">
      <c r="A30" s="501"/>
      <c r="B30" s="501"/>
      <c r="C30" s="508" t="s">
        <v>876</v>
      </c>
      <c r="D30" s="501"/>
      <c r="E30" s="502">
        <v>130000</v>
      </c>
      <c r="F30" s="503"/>
      <c r="G30" s="164"/>
      <c r="H30" s="553"/>
      <c r="I30" s="11"/>
      <c r="J30" s="382"/>
      <c r="K30" s="382"/>
      <c r="L30" s="11"/>
      <c r="M30" s="367"/>
      <c r="N30" s="231"/>
    </row>
    <row r="31" spans="1:14" s="19" customFormat="1" ht="19.5" customHeight="1" x14ac:dyDescent="0.2">
      <c r="A31" s="501"/>
      <c r="B31" s="501"/>
      <c r="C31" s="505" t="s">
        <v>877</v>
      </c>
      <c r="D31" s="505"/>
      <c r="E31" s="507">
        <v>810</v>
      </c>
      <c r="F31" s="503"/>
      <c r="G31" s="164"/>
      <c r="H31" s="553"/>
      <c r="I31"/>
      <c r="J31" s="275"/>
      <c r="K31" s="382"/>
      <c r="L31" s="11"/>
      <c r="M31" s="367"/>
      <c r="N31" s="231"/>
    </row>
    <row r="32" spans="1:14" s="19" customFormat="1" ht="19.5" customHeight="1" x14ac:dyDescent="0.2">
      <c r="A32" s="501"/>
      <c r="B32" s="501"/>
      <c r="C32" s="508" t="s">
        <v>878</v>
      </c>
      <c r="D32" s="501"/>
      <c r="E32" s="502">
        <v>5000</v>
      </c>
      <c r="F32" s="503"/>
      <c r="G32" s="164"/>
      <c r="H32" s="553"/>
      <c r="I32"/>
      <c r="J32" s="275"/>
      <c r="K32" s="382"/>
      <c r="L32" s="11"/>
      <c r="M32" s="367"/>
      <c r="N32" s="231"/>
    </row>
    <row r="33" spans="1:14" s="19" customFormat="1" ht="19.5" customHeight="1" x14ac:dyDescent="0.2">
      <c r="A33" s="501"/>
      <c r="B33" s="501"/>
      <c r="C33" s="505" t="s">
        <v>879</v>
      </c>
      <c r="D33" s="505"/>
      <c r="E33" s="507">
        <v>2400</v>
      </c>
      <c r="F33" s="503"/>
      <c r="G33" s="164"/>
      <c r="H33" s="553"/>
      <c r="I33"/>
      <c r="J33" s="275"/>
      <c r="K33" s="382"/>
      <c r="L33" s="11"/>
      <c r="M33" s="367"/>
      <c r="N33" s="231"/>
    </row>
    <row r="34" spans="1:14" s="19" customFormat="1" ht="19.5" customHeight="1" x14ac:dyDescent="0.2">
      <c r="A34" s="501"/>
      <c r="B34" s="501"/>
      <c r="C34" s="505" t="s">
        <v>880</v>
      </c>
      <c r="D34" s="505"/>
      <c r="E34" s="507">
        <v>10023</v>
      </c>
      <c r="F34" s="503"/>
      <c r="G34" s="164"/>
      <c r="H34" s="553"/>
      <c r="I34"/>
      <c r="J34" s="275"/>
      <c r="K34" s="382"/>
      <c r="L34" s="11"/>
      <c r="M34" s="367"/>
      <c r="N34" s="231"/>
    </row>
    <row r="35" spans="1:14" s="19" customFormat="1" ht="19.5" customHeight="1" x14ac:dyDescent="0.2">
      <c r="A35" s="501"/>
      <c r="B35" s="501"/>
      <c r="C35" s="505" t="s">
        <v>881</v>
      </c>
      <c r="D35" s="505"/>
      <c r="E35" s="507">
        <v>255655</v>
      </c>
      <c r="F35" s="503"/>
      <c r="G35" s="164"/>
      <c r="H35" s="553"/>
      <c r="I35"/>
      <c r="J35" s="275"/>
      <c r="K35" s="382"/>
      <c r="L35" s="11"/>
      <c r="M35" s="367"/>
      <c r="N35" s="231"/>
    </row>
    <row r="36" spans="1:14" s="19" customFormat="1" ht="19.5" customHeight="1" x14ac:dyDescent="0.2">
      <c r="A36" s="501"/>
      <c r="B36" s="501"/>
      <c r="C36" s="505" t="s">
        <v>882</v>
      </c>
      <c r="D36" s="505"/>
      <c r="E36" s="507">
        <v>5089</v>
      </c>
      <c r="F36" s="503"/>
      <c r="G36" s="164"/>
      <c r="H36" s="553"/>
      <c r="I36"/>
      <c r="J36" s="275"/>
      <c r="K36" s="382"/>
      <c r="L36" s="11"/>
      <c r="M36" s="367"/>
      <c r="N36" s="231"/>
    </row>
    <row r="37" spans="1:14" s="19" customFormat="1" ht="19.5" customHeight="1" x14ac:dyDescent="0.2">
      <c r="A37" s="501"/>
      <c r="B37" s="501"/>
      <c r="C37" s="505" t="s">
        <v>883</v>
      </c>
      <c r="D37" s="505"/>
      <c r="E37" s="507">
        <v>5065</v>
      </c>
      <c r="F37" s="503"/>
      <c r="G37" s="164"/>
      <c r="H37" s="553"/>
      <c r="I37"/>
      <c r="J37" s="275"/>
      <c r="K37" s="382"/>
      <c r="L37" s="11"/>
      <c r="M37" s="367"/>
      <c r="N37" s="231"/>
    </row>
    <row r="38" spans="1:14" s="19" customFormat="1" ht="19.5" customHeight="1" x14ac:dyDescent="0.2">
      <c r="A38" s="501"/>
      <c r="B38" s="501"/>
      <c r="C38" s="508" t="s">
        <v>884</v>
      </c>
      <c r="D38" s="501"/>
      <c r="E38" s="502">
        <v>29985</v>
      </c>
      <c r="F38" s="503"/>
      <c r="G38" s="292"/>
      <c r="H38" s="553"/>
      <c r="I38"/>
      <c r="J38" s="275"/>
      <c r="K38" s="382"/>
      <c r="L38" s="11"/>
      <c r="M38" s="367"/>
      <c r="N38" s="231"/>
    </row>
    <row r="39" spans="1:14" s="19" customFormat="1" ht="15" x14ac:dyDescent="0.2">
      <c r="A39" s="501"/>
      <c r="B39" s="501"/>
      <c r="C39" s="508" t="s">
        <v>981</v>
      </c>
      <c r="D39" s="501"/>
      <c r="E39" s="502">
        <v>188070</v>
      </c>
      <c r="F39" s="503"/>
      <c r="G39" s="292"/>
      <c r="H39" s="553"/>
      <c r="I39"/>
      <c r="J39" s="275"/>
      <c r="K39" s="382"/>
      <c r="L39" s="11"/>
      <c r="M39" s="367"/>
      <c r="N39" s="231"/>
    </row>
    <row r="40" spans="1:14" s="19" customFormat="1" ht="19.5" customHeight="1" x14ac:dyDescent="0.2">
      <c r="A40" s="501"/>
      <c r="B40" s="501"/>
      <c r="C40" s="508" t="s">
        <v>982</v>
      </c>
      <c r="D40" s="501"/>
      <c r="E40" s="502">
        <v>5000</v>
      </c>
      <c r="F40" s="503"/>
      <c r="G40" s="292"/>
      <c r="H40"/>
      <c r="I40"/>
      <c r="J40" s="275"/>
      <c r="K40" s="382"/>
      <c r="L40" s="11"/>
      <c r="M40" s="367"/>
      <c r="N40" s="231"/>
    </row>
    <row r="41" spans="1:14" s="19" customFormat="1" ht="19.5" customHeight="1" x14ac:dyDescent="0.2">
      <c r="A41" s="501"/>
      <c r="B41" s="501"/>
      <c r="C41" s="508" t="s">
        <v>983</v>
      </c>
      <c r="D41" s="501"/>
      <c r="E41" s="502">
        <v>10000</v>
      </c>
      <c r="F41" s="503"/>
      <c r="G41" s="292"/>
      <c r="H41"/>
      <c r="I41"/>
      <c r="J41" s="275"/>
      <c r="K41" s="382"/>
      <c r="L41" s="11"/>
      <c r="M41" s="367"/>
      <c r="N41" s="231"/>
    </row>
    <row r="42" spans="1:14" s="19" customFormat="1" ht="19.5" customHeight="1" x14ac:dyDescent="0.2">
      <c r="A42" s="501"/>
      <c r="B42" s="501"/>
      <c r="C42" s="508" t="s">
        <v>984</v>
      </c>
      <c r="D42" s="501"/>
      <c r="E42" s="502">
        <v>11</v>
      </c>
      <c r="F42" s="503"/>
      <c r="G42" s="292"/>
      <c r="H42"/>
      <c r="I42"/>
      <c r="J42" s="275"/>
      <c r="K42" s="382"/>
      <c r="L42" s="11"/>
      <c r="M42" s="367"/>
      <c r="N42" s="231"/>
    </row>
    <row r="43" spans="1:14" s="19" customFormat="1" ht="19.5" customHeight="1" x14ac:dyDescent="0.2">
      <c r="A43" s="501"/>
      <c r="B43" s="501"/>
      <c r="C43" s="508" t="s">
        <v>885</v>
      </c>
      <c r="D43" s="501"/>
      <c r="E43" s="502">
        <v>60800</v>
      </c>
      <c r="F43" s="503"/>
      <c r="G43" s="292"/>
      <c r="H43"/>
      <c r="I43"/>
      <c r="J43" s="275"/>
      <c r="K43" s="382"/>
      <c r="L43" s="11"/>
      <c r="M43" s="367"/>
      <c r="N43" s="231"/>
    </row>
    <row r="44" spans="1:14" s="19" customFormat="1" ht="19.5" customHeight="1" x14ac:dyDescent="0.2">
      <c r="A44" s="501"/>
      <c r="B44" s="501"/>
      <c r="C44" s="508" t="s">
        <v>886</v>
      </c>
      <c r="D44" s="501"/>
      <c r="E44" s="502">
        <v>8400</v>
      </c>
      <c r="F44" s="503"/>
      <c r="G44" s="292"/>
      <c r="H44"/>
      <c r="I44"/>
      <c r="J44" s="275"/>
      <c r="K44" s="382"/>
      <c r="L44" s="11"/>
      <c r="M44" s="367"/>
      <c r="N44" s="231"/>
    </row>
    <row r="45" spans="1:14" s="19" customFormat="1" ht="19.5" customHeight="1" x14ac:dyDescent="0.2">
      <c r="A45" s="501"/>
      <c r="B45" s="501"/>
      <c r="C45" s="508" t="s">
        <v>887</v>
      </c>
      <c r="D45" s="501"/>
      <c r="E45" s="502">
        <v>906</v>
      </c>
      <c r="F45" s="503"/>
      <c r="G45" s="292"/>
      <c r="H45"/>
      <c r="I45"/>
      <c r="J45" s="275"/>
      <c r="K45" s="382"/>
      <c r="L45" s="11"/>
      <c r="M45" s="367"/>
      <c r="N45" s="231"/>
    </row>
    <row r="46" spans="1:14" s="19" customFormat="1" ht="19.5" customHeight="1" x14ac:dyDescent="0.2">
      <c r="A46" s="501"/>
      <c r="B46" s="501"/>
      <c r="C46" s="508" t="s">
        <v>985</v>
      </c>
      <c r="D46" s="501"/>
      <c r="E46" s="502">
        <v>175001</v>
      </c>
      <c r="F46" s="503"/>
      <c r="G46" s="292"/>
      <c r="H46"/>
      <c r="I46"/>
      <c r="J46" s="275"/>
      <c r="K46" s="382"/>
      <c r="L46" s="11"/>
      <c r="M46" s="367"/>
      <c r="N46" s="231"/>
    </row>
    <row r="47" spans="1:14" s="19" customFormat="1" ht="19.5" customHeight="1" x14ac:dyDescent="0.2">
      <c r="A47" s="501"/>
      <c r="B47" s="501"/>
      <c r="C47" s="508" t="s">
        <v>888</v>
      </c>
      <c r="D47" s="501"/>
      <c r="E47" s="502">
        <v>1725</v>
      </c>
      <c r="F47" s="503"/>
      <c r="G47" s="164"/>
      <c r="H47"/>
      <c r="I47"/>
      <c r="J47" s="275"/>
      <c r="K47" s="382"/>
      <c r="L47" s="11"/>
      <c r="M47" s="367"/>
      <c r="N47" s="231"/>
    </row>
    <row r="48" spans="1:14" ht="19.5" customHeight="1" x14ac:dyDescent="0.2">
      <c r="A48" s="501"/>
      <c r="B48" s="501"/>
      <c r="C48" s="508" t="s">
        <v>889</v>
      </c>
      <c r="D48" s="501"/>
      <c r="E48" s="502">
        <v>6267</v>
      </c>
      <c r="F48" s="503"/>
      <c r="K48" s="382"/>
      <c r="L48" s="11"/>
      <c r="M48" s="367"/>
    </row>
    <row r="49" spans="1:12" ht="19.5" customHeight="1" x14ac:dyDescent="0.2">
      <c r="A49" s="501"/>
      <c r="B49" s="501"/>
      <c r="C49" s="508" t="s">
        <v>890</v>
      </c>
      <c r="D49" s="501"/>
      <c r="E49" s="502">
        <v>3500</v>
      </c>
      <c r="F49" s="503"/>
      <c r="L49" s="11"/>
    </row>
    <row r="50" spans="1:12" ht="19.5" customHeight="1" x14ac:dyDescent="0.2">
      <c r="A50" s="501"/>
      <c r="B50" s="501"/>
      <c r="C50" s="508" t="s">
        <v>891</v>
      </c>
      <c r="D50" s="501"/>
      <c r="E50" s="502">
        <v>162660</v>
      </c>
      <c r="F50" s="503"/>
      <c r="G50" s="305"/>
      <c r="L50" s="11"/>
    </row>
    <row r="51" spans="1:12" ht="19.5" customHeight="1" x14ac:dyDescent="0.2">
      <c r="A51" s="501"/>
      <c r="B51" s="501"/>
      <c r="C51" s="508" t="s">
        <v>892</v>
      </c>
      <c r="D51" s="501"/>
      <c r="E51" s="502">
        <v>3800</v>
      </c>
      <c r="F51" s="503"/>
      <c r="G51" s="452"/>
      <c r="L51" s="11"/>
    </row>
    <row r="52" spans="1:12" ht="19.5" customHeight="1" x14ac:dyDescent="0.2">
      <c r="A52" s="501"/>
      <c r="B52" s="501"/>
      <c r="C52" s="508"/>
      <c r="D52" s="501"/>
      <c r="E52" s="502"/>
      <c r="F52" s="503"/>
      <c r="L52" s="11"/>
    </row>
    <row r="53" spans="1:12" ht="19.5" customHeight="1" x14ac:dyDescent="0.25">
      <c r="A53" s="501"/>
      <c r="B53" s="504" t="s">
        <v>115</v>
      </c>
      <c r="C53" s="508"/>
      <c r="D53" s="501"/>
      <c r="E53" s="502"/>
      <c r="F53" s="503"/>
      <c r="L53" s="11"/>
    </row>
    <row r="54" spans="1:12" ht="19.5" customHeight="1" x14ac:dyDescent="0.2">
      <c r="A54" s="501"/>
      <c r="B54" s="501"/>
      <c r="C54" s="501"/>
      <c r="D54" s="501"/>
      <c r="E54" s="507"/>
      <c r="F54" s="503"/>
      <c r="L54" s="11"/>
    </row>
    <row r="55" spans="1:12" ht="19.5" customHeight="1" x14ac:dyDescent="0.2">
      <c r="A55" s="501"/>
      <c r="B55" s="501"/>
      <c r="C55" s="508" t="s">
        <v>684</v>
      </c>
      <c r="D55" s="510"/>
      <c r="E55" s="507">
        <f>984884+199949</f>
        <v>1184833</v>
      </c>
      <c r="F55" s="503"/>
      <c r="G55" s="305"/>
      <c r="L55" s="11"/>
    </row>
    <row r="56" spans="1:12" ht="19.5" customHeight="1" x14ac:dyDescent="0.2">
      <c r="A56" s="501"/>
      <c r="B56" s="501"/>
      <c r="C56" s="508" t="s">
        <v>674</v>
      </c>
      <c r="D56" s="501"/>
      <c r="E56" s="507">
        <v>520000</v>
      </c>
      <c r="F56" s="503"/>
      <c r="L56" s="11"/>
    </row>
    <row r="57" spans="1:12" ht="19.5" customHeight="1" x14ac:dyDescent="0.2">
      <c r="A57" s="501"/>
      <c r="B57" s="501"/>
      <c r="F57" s="503"/>
      <c r="G57" s="452"/>
      <c r="L57" s="11"/>
    </row>
    <row r="58" spans="1:12" ht="15" x14ac:dyDescent="0.2">
      <c r="A58" s="501"/>
      <c r="B58" s="501"/>
      <c r="C58" s="508"/>
      <c r="D58" s="501"/>
      <c r="E58" s="502"/>
      <c r="F58" s="503"/>
      <c r="G58" s="452"/>
      <c r="L58" s="11"/>
    </row>
    <row r="59" spans="1:12" ht="15.75" x14ac:dyDescent="0.25">
      <c r="A59" s="501"/>
      <c r="B59" s="501"/>
      <c r="C59" s="560"/>
      <c r="D59" s="21"/>
      <c r="E59" s="347">
        <f>SUM(E14:E58)</f>
        <v>2997213</v>
      </c>
      <c r="F59" s="503"/>
      <c r="G59" s="452"/>
      <c r="L59" s="11"/>
    </row>
    <row r="60" spans="1:12" ht="15" x14ac:dyDescent="0.2">
      <c r="A60" s="501"/>
      <c r="B60" s="501"/>
      <c r="C60" s="22"/>
      <c r="D60" s="22"/>
      <c r="E60" s="22"/>
      <c r="F60" s="503"/>
      <c r="G60" s="452"/>
      <c r="L60" s="11"/>
    </row>
    <row r="61" spans="1:12" ht="15" x14ac:dyDescent="0.2">
      <c r="A61" s="501"/>
      <c r="B61" s="501"/>
      <c r="C61" s="23"/>
      <c r="D61" s="23"/>
      <c r="E61" s="24"/>
      <c r="F61" s="503"/>
      <c r="G61" s="452"/>
      <c r="L61" s="11"/>
    </row>
    <row r="62" spans="1:12" ht="15" x14ac:dyDescent="0.2">
      <c r="A62" s="501"/>
      <c r="B62" s="501"/>
      <c r="C62" s="6"/>
      <c r="D62" s="6"/>
      <c r="E62" s="293">
        <f>+E59-'BZA DE COMP'!H18-'BZA DE COMP'!H19</f>
        <v>0</v>
      </c>
      <c r="F62" s="503"/>
      <c r="G62" s="452"/>
      <c r="L62" s="11"/>
    </row>
    <row r="63" spans="1:12" ht="15" x14ac:dyDescent="0.2">
      <c r="A63" s="501"/>
      <c r="C63" s="6"/>
      <c r="D63" s="6"/>
      <c r="E63" s="26"/>
      <c r="F63" s="503"/>
      <c r="G63" s="452"/>
      <c r="L63" s="11"/>
    </row>
    <row r="64" spans="1:12" ht="15" x14ac:dyDescent="0.2">
      <c r="A64" s="501"/>
      <c r="B64" s="509"/>
      <c r="C64" s="6"/>
      <c r="D64" s="6"/>
      <c r="E64" s="6"/>
      <c r="F64" s="503"/>
      <c r="G64" s="452"/>
      <c r="L64" s="11"/>
    </row>
    <row r="65" spans="1:12" ht="15" x14ac:dyDescent="0.2">
      <c r="A65" s="501"/>
      <c r="B65" s="501"/>
      <c r="C65" s="6"/>
      <c r="D65" s="6"/>
      <c r="E65" s="6"/>
      <c r="F65" s="503"/>
      <c r="L65" s="11"/>
    </row>
    <row r="66" spans="1:12" ht="15" x14ac:dyDescent="0.2">
      <c r="A66" s="501"/>
      <c r="B66" s="501"/>
      <c r="C66" s="6"/>
      <c r="D66" s="6"/>
      <c r="E66" s="10"/>
      <c r="F66" s="503"/>
      <c r="L66" s="11"/>
    </row>
    <row r="67" spans="1:12" ht="15" x14ac:dyDescent="0.2">
      <c r="A67" s="501"/>
      <c r="C67" s="6"/>
      <c r="D67" s="6"/>
      <c r="E67" s="6"/>
      <c r="F67" s="503"/>
      <c r="L67" s="11"/>
    </row>
    <row r="68" spans="1:12" ht="15" x14ac:dyDescent="0.2">
      <c r="A68" s="501"/>
      <c r="C68" s="6"/>
      <c r="D68" s="6"/>
      <c r="E68" s="6"/>
      <c r="F68" s="503"/>
      <c r="L68" s="11"/>
    </row>
    <row r="69" spans="1:12" ht="15" x14ac:dyDescent="0.2">
      <c r="A69" s="501"/>
      <c r="E69" s="10"/>
      <c r="F69" s="503"/>
      <c r="L69" s="11"/>
    </row>
    <row r="70" spans="1:12" ht="15" x14ac:dyDescent="0.2">
      <c r="A70" s="501"/>
      <c r="E70" s="6"/>
      <c r="F70" s="503"/>
      <c r="L70" s="11"/>
    </row>
    <row r="71" spans="1:12" ht="15" x14ac:dyDescent="0.2">
      <c r="A71" s="501"/>
      <c r="B71" s="509"/>
      <c r="E71" s="6"/>
      <c r="F71" s="503"/>
      <c r="L71" s="11"/>
    </row>
    <row r="72" spans="1:12" ht="15" x14ac:dyDescent="0.2">
      <c r="A72" s="501"/>
      <c r="B72" s="501"/>
      <c r="E72" s="6"/>
      <c r="F72" s="503"/>
      <c r="L72" s="11"/>
    </row>
    <row r="73" spans="1:12" ht="15.75" x14ac:dyDescent="0.25">
      <c r="A73" s="21"/>
      <c r="B73" s="560" t="s">
        <v>82</v>
      </c>
      <c r="E73" s="6"/>
      <c r="F73" s="161"/>
      <c r="L73" s="11"/>
    </row>
    <row r="74" spans="1:12" ht="15" x14ac:dyDescent="0.2">
      <c r="A74" s="22" t="s">
        <v>4</v>
      </c>
      <c r="B74" s="22"/>
      <c r="E74" s="6"/>
      <c r="F74" s="22"/>
      <c r="L74" s="11"/>
    </row>
    <row r="75" spans="1:12" ht="15" x14ac:dyDescent="0.2">
      <c r="A75" s="23"/>
      <c r="B75" s="23"/>
      <c r="E75" s="6"/>
      <c r="F75" s="25"/>
      <c r="L75" s="11"/>
    </row>
    <row r="76" spans="1:12" x14ac:dyDescent="0.2">
      <c r="A76" s="6"/>
      <c r="B76" s="6"/>
      <c r="E76" s="6"/>
      <c r="F76" s="6"/>
      <c r="L76" s="11"/>
    </row>
    <row r="77" spans="1:12" x14ac:dyDescent="0.2">
      <c r="A77" s="6"/>
      <c r="B77" s="6"/>
      <c r="E77" s="6"/>
      <c r="F77" s="6"/>
      <c r="L77" s="11"/>
    </row>
    <row r="78" spans="1:12" x14ac:dyDescent="0.2">
      <c r="A78" s="6"/>
      <c r="B78" s="6"/>
      <c r="E78" s="6"/>
      <c r="F78" s="6"/>
      <c r="L78" s="11"/>
    </row>
    <row r="79" spans="1:12" x14ac:dyDescent="0.2">
      <c r="A79" s="6"/>
      <c r="B79" s="6"/>
      <c r="C79" s="1"/>
      <c r="D79" s="1"/>
      <c r="E79" s="6"/>
      <c r="F79" s="6"/>
      <c r="L79" s="11"/>
    </row>
    <row r="80" spans="1:12" x14ac:dyDescent="0.2">
      <c r="A80" s="6"/>
      <c r="B80" s="6"/>
      <c r="C80" s="1"/>
      <c r="D80" s="1"/>
      <c r="E80" s="6"/>
      <c r="F80" s="6"/>
      <c r="L80" s="11"/>
    </row>
    <row r="81" spans="1:12" x14ac:dyDescent="0.2">
      <c r="A81" s="6"/>
      <c r="B81" s="6"/>
      <c r="C81" s="1"/>
      <c r="D81" s="1"/>
      <c r="E81" s="6"/>
      <c r="F81" s="6"/>
      <c r="L81" s="11"/>
    </row>
    <row r="82" spans="1:12" x14ac:dyDescent="0.2">
      <c r="A82" s="6"/>
      <c r="B82" s="6"/>
      <c r="C82" s="8"/>
      <c r="D82" s="8"/>
      <c r="E82" s="6"/>
      <c r="F82" s="6"/>
      <c r="L82" s="11"/>
    </row>
    <row r="83" spans="1:12" x14ac:dyDescent="0.2">
      <c r="A83" s="6"/>
      <c r="B83" s="6"/>
      <c r="C83" s="1"/>
      <c r="D83" s="1"/>
      <c r="E83" s="6"/>
      <c r="F83" s="6"/>
      <c r="L83" s="11"/>
    </row>
    <row r="84" spans="1:12" x14ac:dyDescent="0.2">
      <c r="A84" s="6"/>
      <c r="B84" s="6"/>
      <c r="C84" s="1"/>
      <c r="D84" s="1"/>
      <c r="E84" s="6"/>
      <c r="F84" s="6"/>
      <c r="L84" s="11"/>
    </row>
    <row r="85" spans="1:12" x14ac:dyDescent="0.2">
      <c r="A85" s="6"/>
      <c r="B85" s="6"/>
      <c r="C85" s="1"/>
      <c r="D85" s="1"/>
      <c r="E85" s="6"/>
      <c r="F85" s="6"/>
      <c r="L85" s="11"/>
    </row>
    <row r="86" spans="1:12" x14ac:dyDescent="0.2">
      <c r="A86" s="6"/>
      <c r="B86" s="6"/>
      <c r="E86" s="6"/>
      <c r="F86" s="6"/>
      <c r="L86" s="11"/>
    </row>
    <row r="87" spans="1:12" x14ac:dyDescent="0.2">
      <c r="A87" s="6"/>
      <c r="B87" s="6"/>
      <c r="E87" s="6"/>
      <c r="F87" s="6"/>
      <c r="L87" s="11"/>
    </row>
    <row r="88" spans="1:12" x14ac:dyDescent="0.2">
      <c r="A88" s="6"/>
      <c r="B88" s="6"/>
      <c r="E88" s="6"/>
      <c r="F88" s="6"/>
      <c r="L88" s="11"/>
    </row>
    <row r="89" spans="1:12" x14ac:dyDescent="0.2">
      <c r="A89" s="6"/>
      <c r="B89" s="6"/>
      <c r="E89" s="6"/>
      <c r="F89" s="6"/>
      <c r="L89" s="11"/>
    </row>
    <row r="90" spans="1:12" x14ac:dyDescent="0.2">
      <c r="A90" s="6"/>
      <c r="B90" s="6"/>
      <c r="E90" s="6"/>
      <c r="F90" s="6"/>
      <c r="L90" s="11"/>
    </row>
    <row r="91" spans="1:12" x14ac:dyDescent="0.2">
      <c r="A91" s="6"/>
      <c r="B91" s="6"/>
      <c r="E91" s="6"/>
      <c r="F91" s="6"/>
      <c r="L91" s="11"/>
    </row>
    <row r="92" spans="1:12" x14ac:dyDescent="0.2">
      <c r="A92" s="6"/>
      <c r="B92" s="6"/>
      <c r="E92" s="6"/>
      <c r="F92" s="6"/>
      <c r="L92" s="11"/>
    </row>
    <row r="93" spans="1:12" x14ac:dyDescent="0.2">
      <c r="A93" s="6"/>
      <c r="B93" s="6"/>
      <c r="E93" s="11"/>
      <c r="F93" s="6"/>
      <c r="L93" s="11"/>
    </row>
    <row r="94" spans="1:12" x14ac:dyDescent="0.2">
      <c r="A94" s="6"/>
      <c r="B94" s="6"/>
      <c r="E94" s="7"/>
      <c r="F94" s="6"/>
    </row>
    <row r="95" spans="1:12" x14ac:dyDescent="0.2">
      <c r="A95" s="6"/>
      <c r="B95" s="6"/>
      <c r="E95" s="9"/>
      <c r="F95" s="6"/>
    </row>
    <row r="96" spans="1:12" ht="15" x14ac:dyDescent="0.25">
      <c r="A96" s="6"/>
      <c r="B96" s="6"/>
      <c r="E96" s="12"/>
      <c r="F96" s="6"/>
    </row>
    <row r="97" spans="1:6" x14ac:dyDescent="0.2">
      <c r="A97" s="6"/>
      <c r="B97" s="6"/>
      <c r="E97" s="9"/>
      <c r="F97" s="6"/>
    </row>
    <row r="98" spans="1:6" x14ac:dyDescent="0.2">
      <c r="A98" s="6"/>
      <c r="B98" s="6"/>
      <c r="E98" s="14"/>
      <c r="F98" s="6"/>
    </row>
    <row r="99" spans="1:6" x14ac:dyDescent="0.2">
      <c r="A99" s="6"/>
      <c r="B99" s="6"/>
      <c r="E99" s="15"/>
      <c r="F99" s="6"/>
    </row>
    <row r="100" spans="1:6" x14ac:dyDescent="0.2">
      <c r="A100" s="6"/>
      <c r="B100" s="6"/>
      <c r="E100" s="15"/>
      <c r="F100" s="6"/>
    </row>
    <row r="101" spans="1:6" x14ac:dyDescent="0.2">
      <c r="A101" s="6"/>
      <c r="B101" s="6"/>
      <c r="E101" s="11"/>
      <c r="F101" s="6"/>
    </row>
    <row r="102" spans="1:6" x14ac:dyDescent="0.2">
      <c r="A102" s="6"/>
      <c r="B102" s="6"/>
      <c r="E102" s="11"/>
      <c r="F102" s="6"/>
    </row>
    <row r="103" spans="1:6" x14ac:dyDescent="0.2">
      <c r="A103" s="6"/>
      <c r="B103" s="6"/>
      <c r="E103" s="11"/>
      <c r="F103" s="6"/>
    </row>
    <row r="104" spans="1:6" x14ac:dyDescent="0.2">
      <c r="A104" s="6"/>
      <c r="B104" s="6"/>
      <c r="E104" s="11"/>
      <c r="F104" s="6"/>
    </row>
    <row r="105" spans="1:6" x14ac:dyDescent="0.2">
      <c r="A105" s="6"/>
      <c r="B105" s="6"/>
      <c r="E105" s="11"/>
      <c r="F105" s="6"/>
    </row>
    <row r="106" spans="1:6" x14ac:dyDescent="0.2">
      <c r="A106" s="6"/>
      <c r="B106" s="6"/>
      <c r="E106" s="11"/>
      <c r="F106" s="6"/>
    </row>
    <row r="107" spans="1:6" x14ac:dyDescent="0.2">
      <c r="A107" s="11"/>
      <c r="B107" s="11"/>
      <c r="E107" s="11"/>
      <c r="F107" s="11"/>
    </row>
    <row r="108" spans="1:6" x14ac:dyDescent="0.2">
      <c r="A108" s="7"/>
      <c r="B108" s="7"/>
      <c r="E108" s="11"/>
      <c r="F108" s="7"/>
    </row>
    <row r="109" spans="1:6" x14ac:dyDescent="0.2">
      <c r="A109" s="9"/>
      <c r="B109" s="9"/>
      <c r="E109" s="11"/>
      <c r="F109" s="9"/>
    </row>
    <row r="110" spans="1:6" ht="15" x14ac:dyDescent="0.25">
      <c r="A110" s="12"/>
      <c r="B110" s="12"/>
      <c r="F110" s="12"/>
    </row>
    <row r="111" spans="1:6" x14ac:dyDescent="0.2">
      <c r="A111" s="9"/>
      <c r="B111" s="9"/>
      <c r="F111" s="9"/>
    </row>
    <row r="112" spans="1:6" x14ac:dyDescent="0.2">
      <c r="A112" s="14"/>
      <c r="B112" s="14"/>
      <c r="F112" s="14"/>
    </row>
    <row r="113" spans="1:6" x14ac:dyDescent="0.2">
      <c r="A113" s="15"/>
      <c r="B113" s="15"/>
      <c r="F113" s="15"/>
    </row>
    <row r="114" spans="1:6" x14ac:dyDescent="0.2">
      <c r="A114" s="15"/>
      <c r="B114" s="15"/>
      <c r="F114" s="15"/>
    </row>
    <row r="115" spans="1:6" x14ac:dyDescent="0.2">
      <c r="A115" s="11"/>
      <c r="B115" s="11"/>
      <c r="F115" s="11"/>
    </row>
    <row r="116" spans="1:6" x14ac:dyDescent="0.2">
      <c r="A116" s="11"/>
      <c r="B116" s="11"/>
      <c r="F116" s="11"/>
    </row>
    <row r="117" spans="1:6" x14ac:dyDescent="0.2">
      <c r="A117" s="11"/>
      <c r="B117" s="11"/>
      <c r="F117" s="11"/>
    </row>
    <row r="118" spans="1:6" x14ac:dyDescent="0.2">
      <c r="A118" s="11"/>
      <c r="B118" s="11"/>
      <c r="F118" s="11"/>
    </row>
    <row r="119" spans="1:6" x14ac:dyDescent="0.2">
      <c r="A119" s="11"/>
      <c r="B119" s="11"/>
      <c r="F119" s="11"/>
    </row>
    <row r="120" spans="1:6" x14ac:dyDescent="0.2">
      <c r="A120" s="11"/>
      <c r="B120" s="11"/>
      <c r="F120" s="11"/>
    </row>
    <row r="121" spans="1:6" x14ac:dyDescent="0.2">
      <c r="A121" s="11"/>
      <c r="B121" s="11"/>
      <c r="F121" s="11"/>
    </row>
    <row r="122" spans="1:6" x14ac:dyDescent="0.2">
      <c r="A122" s="11"/>
      <c r="B122" s="11"/>
      <c r="F122" s="11"/>
    </row>
    <row r="123" spans="1:6" x14ac:dyDescent="0.2">
      <c r="A123" s="11"/>
      <c r="B123" s="11"/>
      <c r="F123" s="11"/>
    </row>
  </sheetData>
  <sortState ref="H16:J74">
    <sortCondition ref="H16:H74"/>
  </sortState>
  <mergeCells count="8">
    <mergeCell ref="A10:F10"/>
    <mergeCell ref="C11:C13"/>
    <mergeCell ref="E11:E13"/>
    <mergeCell ref="A3:F3"/>
    <mergeCell ref="A4:F4"/>
    <mergeCell ref="A7:F7"/>
    <mergeCell ref="A8:F8"/>
    <mergeCell ref="A9:F9"/>
  </mergeCells>
  <phoneticPr fontId="10" type="noConversion"/>
  <printOptions horizontalCentered="1"/>
  <pageMargins left="0.39370078740157483" right="0.39370078740157483" top="0.78740157480314965" bottom="0.59055118110236227" header="0" footer="0"/>
  <pageSetup scale="78" fitToHeight="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06"/>
  <sheetViews>
    <sheetView topLeftCell="A4" workbookViewId="0">
      <selection activeCell="A9" sqref="A9:F9"/>
    </sheetView>
  </sheetViews>
  <sheetFormatPr baseColWidth="10" defaultRowHeight="12.75" x14ac:dyDescent="0.2"/>
  <cols>
    <col min="1" max="2" width="4.28515625" customWidth="1"/>
    <col min="3" max="3" width="88.5703125" customWidth="1"/>
    <col min="4" max="4" width="4.28515625" customWidth="1"/>
    <col min="5" max="5" width="21.42578125" customWidth="1"/>
    <col min="6" max="6" width="4.28515625" customWidth="1"/>
    <col min="7" max="7" width="8.85546875" customWidth="1"/>
    <col min="8" max="8" width="13" customWidth="1"/>
  </cols>
  <sheetData>
    <row r="2" spans="1:6" ht="15" customHeight="1" x14ac:dyDescent="0.2"/>
    <row r="3" spans="1:6" ht="25.5" customHeight="1" x14ac:dyDescent="0.2">
      <c r="A3" s="634" t="s">
        <v>0</v>
      </c>
      <c r="B3" s="634"/>
      <c r="C3" s="634"/>
      <c r="D3" s="634"/>
      <c r="E3" s="634"/>
      <c r="F3" s="634"/>
    </row>
    <row r="4" spans="1:6" ht="25.5" customHeight="1" x14ac:dyDescent="0.2">
      <c r="A4" s="635" t="s">
        <v>106</v>
      </c>
      <c r="B4" s="635"/>
      <c r="C4" s="635"/>
      <c r="D4" s="635"/>
      <c r="E4" s="635"/>
      <c r="F4" s="635"/>
    </row>
    <row r="5" spans="1:6" ht="15" customHeight="1" x14ac:dyDescent="0.25">
      <c r="A5" s="2"/>
      <c r="B5" s="2"/>
      <c r="C5" s="2"/>
      <c r="D5" s="2"/>
      <c r="E5" s="2"/>
      <c r="F5" s="2"/>
    </row>
    <row r="6" spans="1:6" ht="15" customHeight="1" x14ac:dyDescent="0.25">
      <c r="A6" s="2"/>
      <c r="B6" s="2"/>
      <c r="C6" s="2"/>
      <c r="D6" s="2"/>
      <c r="E6" s="2"/>
      <c r="F6" s="2"/>
    </row>
    <row r="7" spans="1:6" ht="15" customHeight="1" x14ac:dyDescent="0.25">
      <c r="A7" s="638" t="s">
        <v>84</v>
      </c>
      <c r="B7" s="638"/>
      <c r="C7" s="638"/>
      <c r="D7" s="638"/>
      <c r="E7" s="638"/>
      <c r="F7" s="638"/>
    </row>
    <row r="8" spans="1:6" ht="15" customHeight="1" x14ac:dyDescent="0.25">
      <c r="A8" s="638" t="s">
        <v>970</v>
      </c>
      <c r="B8" s="638"/>
      <c r="C8" s="638"/>
      <c r="D8" s="638"/>
      <c r="E8" s="638"/>
      <c r="F8" s="638"/>
    </row>
    <row r="9" spans="1:6" ht="15" customHeight="1" x14ac:dyDescent="0.25">
      <c r="A9" s="638" t="s">
        <v>1</v>
      </c>
      <c r="B9" s="638"/>
      <c r="C9" s="638"/>
      <c r="D9" s="638"/>
      <c r="E9" s="638"/>
      <c r="F9" s="638"/>
    </row>
    <row r="10" spans="1:6" ht="15" customHeight="1" x14ac:dyDescent="0.2">
      <c r="A10" s="637"/>
      <c r="B10" s="637"/>
      <c r="C10" s="637"/>
      <c r="D10" s="637"/>
      <c r="E10" s="637"/>
      <c r="F10" s="637"/>
    </row>
    <row r="11" spans="1:6" ht="18.75" customHeight="1" x14ac:dyDescent="0.2">
      <c r="A11" s="3"/>
      <c r="B11" s="3"/>
      <c r="C11" s="3"/>
      <c r="D11" s="3"/>
      <c r="E11" s="3"/>
      <c r="F11" s="3"/>
    </row>
    <row r="12" spans="1:6" ht="18.75" customHeight="1" x14ac:dyDescent="0.2">
      <c r="A12" s="3"/>
      <c r="B12" s="3"/>
      <c r="C12" s="3"/>
      <c r="D12" s="3"/>
      <c r="E12" s="3"/>
      <c r="F12" s="3"/>
    </row>
    <row r="13" spans="1:6" ht="18.75" customHeight="1" x14ac:dyDescent="0.2">
      <c r="A13" s="5"/>
      <c r="C13" s="629" t="s">
        <v>43</v>
      </c>
      <c r="D13" s="5"/>
      <c r="E13" s="629" t="s">
        <v>5</v>
      </c>
      <c r="F13" s="4"/>
    </row>
    <row r="14" spans="1:6" ht="18.75" customHeight="1" x14ac:dyDescent="0.2">
      <c r="A14" s="5"/>
      <c r="B14" s="147"/>
      <c r="C14" s="629"/>
      <c r="D14" s="5"/>
      <c r="E14" s="629" t="s">
        <v>5</v>
      </c>
      <c r="F14" s="4"/>
    </row>
    <row r="15" spans="1:6" ht="18.75" customHeight="1" x14ac:dyDescent="0.2">
      <c r="A15" s="5"/>
      <c r="B15" s="147"/>
      <c r="C15" s="629"/>
      <c r="D15" s="5"/>
      <c r="E15" s="629"/>
      <c r="F15" s="4"/>
    </row>
    <row r="16" spans="1:6" s="19" customFormat="1" ht="18.75" customHeight="1" x14ac:dyDescent="0.2">
      <c r="A16" s="16"/>
      <c r="B16" s="16"/>
      <c r="C16" s="16"/>
      <c r="D16" s="16"/>
      <c r="E16" s="17"/>
      <c r="F16" s="18"/>
    </row>
    <row r="17" spans="1:6" s="19" customFormat="1" ht="18.75" customHeight="1" x14ac:dyDescent="0.2">
      <c r="A17" s="16"/>
      <c r="B17" s="16"/>
      <c r="C17" s="16" t="s">
        <v>150</v>
      </c>
      <c r="D17" s="16"/>
      <c r="E17" s="17">
        <f>443959847+200000</f>
        <v>444159847</v>
      </c>
      <c r="F17" s="18"/>
    </row>
    <row r="18" spans="1:6" s="19" customFormat="1" ht="18.75" customHeight="1" x14ac:dyDescent="0.2">
      <c r="A18" s="16"/>
      <c r="B18" s="16"/>
      <c r="C18" s="16"/>
      <c r="D18" s="16"/>
      <c r="E18" s="17"/>
      <c r="F18" s="18"/>
    </row>
    <row r="19" spans="1:6" s="19" customFormat="1" ht="18.75" customHeight="1" x14ac:dyDescent="0.2">
      <c r="A19" s="16"/>
      <c r="B19" s="16"/>
      <c r="C19" s="16"/>
      <c r="D19" s="16"/>
      <c r="E19" s="17"/>
      <c r="F19" s="18"/>
    </row>
    <row r="20" spans="1:6" s="19" customFormat="1" ht="18.75" customHeight="1" x14ac:dyDescent="0.2">
      <c r="A20" s="16"/>
      <c r="B20" s="16"/>
      <c r="C20" s="16"/>
      <c r="D20" s="16"/>
      <c r="E20" s="17"/>
      <c r="F20" s="18"/>
    </row>
    <row r="21" spans="1:6" s="19" customFormat="1" ht="18.75" customHeight="1" x14ac:dyDescent="0.2">
      <c r="A21" s="16"/>
      <c r="B21" s="16"/>
      <c r="C21" s="16"/>
      <c r="D21" s="16"/>
      <c r="E21" s="17"/>
      <c r="F21" s="18"/>
    </row>
    <row r="22" spans="1:6" s="19" customFormat="1" ht="18.75" customHeight="1" x14ac:dyDescent="0.2">
      <c r="A22" s="16"/>
      <c r="C22" s="20"/>
      <c r="D22" s="20"/>
      <c r="E22" s="17"/>
      <c r="F22" s="18"/>
    </row>
    <row r="23" spans="1:6" s="19" customFormat="1" ht="18.75" customHeight="1" x14ac:dyDescent="0.2">
      <c r="A23" s="16"/>
      <c r="C23" s="20"/>
      <c r="D23" s="20"/>
      <c r="E23" s="17"/>
      <c r="F23" s="18"/>
    </row>
    <row r="24" spans="1:6" s="19" customFormat="1" ht="18.75" customHeight="1" x14ac:dyDescent="0.2">
      <c r="A24" s="16"/>
      <c r="C24" s="20"/>
      <c r="D24" s="20"/>
      <c r="E24" s="17"/>
      <c r="F24" s="18"/>
    </row>
    <row r="25" spans="1:6" s="19" customFormat="1" ht="18.75" customHeight="1" x14ac:dyDescent="0.2">
      <c r="A25" s="16"/>
      <c r="C25" s="20"/>
      <c r="D25" s="20"/>
      <c r="E25" s="17"/>
      <c r="F25" s="18"/>
    </row>
    <row r="26" spans="1:6" s="19" customFormat="1" ht="18.75" customHeight="1" x14ac:dyDescent="0.2">
      <c r="A26" s="16"/>
      <c r="C26" s="20"/>
      <c r="D26" s="20"/>
      <c r="E26" s="17"/>
      <c r="F26" s="18"/>
    </row>
    <row r="27" spans="1:6" s="19" customFormat="1" ht="18.75" customHeight="1" x14ac:dyDescent="0.2">
      <c r="A27" s="16"/>
      <c r="C27" s="20"/>
      <c r="D27" s="20"/>
      <c r="E27" s="17"/>
      <c r="F27" s="18"/>
    </row>
    <row r="28" spans="1:6" s="19" customFormat="1" ht="18.75" customHeight="1" x14ac:dyDescent="0.2">
      <c r="A28" s="16"/>
      <c r="C28" s="20"/>
      <c r="D28" s="20"/>
      <c r="E28" s="17"/>
      <c r="F28" s="18"/>
    </row>
    <row r="29" spans="1:6" s="19" customFormat="1" ht="18.75" customHeight="1" x14ac:dyDescent="0.2">
      <c r="A29" s="16"/>
      <c r="C29" s="20"/>
      <c r="D29" s="20"/>
      <c r="E29" s="17"/>
      <c r="F29" s="18"/>
    </row>
    <row r="30" spans="1:6" s="19" customFormat="1" ht="18.75" customHeight="1" x14ac:dyDescent="0.2">
      <c r="A30" s="16"/>
      <c r="C30" s="20"/>
      <c r="D30" s="20"/>
      <c r="E30" s="17"/>
      <c r="F30" s="18"/>
    </row>
    <row r="31" spans="1:6" s="19" customFormat="1" ht="18.75" customHeight="1" x14ac:dyDescent="0.2">
      <c r="A31" s="16"/>
      <c r="C31" s="20"/>
      <c r="D31" s="20"/>
      <c r="E31" s="17"/>
      <c r="F31" s="18"/>
    </row>
    <row r="32" spans="1:6" s="19" customFormat="1" ht="18.75" customHeight="1" x14ac:dyDescent="0.2">
      <c r="A32" s="16"/>
      <c r="C32" s="20"/>
      <c r="D32" s="20"/>
      <c r="E32" s="17"/>
      <c r="F32" s="18"/>
    </row>
    <row r="33" spans="1:6" s="19" customFormat="1" ht="18.75" customHeight="1" x14ac:dyDescent="0.2">
      <c r="A33" s="16"/>
      <c r="C33" s="20"/>
      <c r="D33" s="20"/>
      <c r="E33" s="17"/>
      <c r="F33" s="18"/>
    </row>
    <row r="34" spans="1:6" s="19" customFormat="1" ht="18.75" customHeight="1" x14ac:dyDescent="0.2">
      <c r="A34" s="16"/>
      <c r="C34" s="20"/>
      <c r="D34" s="20"/>
      <c r="E34" s="17"/>
      <c r="F34" s="18"/>
    </row>
    <row r="35" spans="1:6" s="19" customFormat="1" ht="18.75" customHeight="1" x14ac:dyDescent="0.2">
      <c r="A35" s="16"/>
      <c r="C35" s="20"/>
      <c r="D35" s="20"/>
      <c r="E35" s="17"/>
      <c r="F35" s="18"/>
    </row>
    <row r="36" spans="1:6" s="19" customFormat="1" ht="18.75" customHeight="1" x14ac:dyDescent="0.2">
      <c r="A36" s="16"/>
      <c r="C36" s="20"/>
      <c r="D36" s="20"/>
      <c r="E36" s="17"/>
      <c r="F36" s="18"/>
    </row>
    <row r="37" spans="1:6" s="19" customFormat="1" ht="18.75" customHeight="1" x14ac:dyDescent="0.2">
      <c r="A37" s="16"/>
      <c r="C37" s="20"/>
      <c r="D37" s="20"/>
      <c r="E37" s="17"/>
      <c r="F37" s="18"/>
    </row>
    <row r="38" spans="1:6" s="19" customFormat="1" ht="18.75" customHeight="1" x14ac:dyDescent="0.2">
      <c r="A38" s="16"/>
      <c r="C38" s="20"/>
      <c r="D38" s="20"/>
      <c r="E38" s="17"/>
      <c r="F38" s="18"/>
    </row>
    <row r="39" spans="1:6" s="19" customFormat="1" ht="18.75" customHeight="1" x14ac:dyDescent="0.2">
      <c r="A39" s="16"/>
      <c r="C39" s="20"/>
      <c r="D39" s="20"/>
      <c r="E39" s="17"/>
      <c r="F39" s="18"/>
    </row>
    <row r="40" spans="1:6" s="19" customFormat="1" ht="18.75" customHeight="1" x14ac:dyDescent="0.2">
      <c r="A40" s="16"/>
      <c r="C40" s="20"/>
      <c r="D40" s="20"/>
      <c r="E40" s="17"/>
      <c r="F40" s="18"/>
    </row>
    <row r="41" spans="1:6" s="19" customFormat="1" ht="18.75" customHeight="1" x14ac:dyDescent="0.2">
      <c r="A41" s="16"/>
      <c r="B41" s="16"/>
      <c r="C41" s="16"/>
      <c r="D41" s="16"/>
      <c r="E41" s="17"/>
      <c r="F41" s="18"/>
    </row>
    <row r="42" spans="1:6" s="19" customFormat="1" ht="18.75" customHeight="1" x14ac:dyDescent="0.2">
      <c r="A42" s="16"/>
      <c r="B42" s="16"/>
      <c r="C42" s="16"/>
      <c r="D42" s="16"/>
      <c r="E42" s="17"/>
      <c r="F42" s="18"/>
    </row>
    <row r="43" spans="1:6" s="19" customFormat="1" ht="18.75" customHeight="1" x14ac:dyDescent="0.2">
      <c r="A43" s="16"/>
      <c r="B43" s="16"/>
      <c r="C43" s="16"/>
      <c r="D43" s="16"/>
      <c r="E43" s="17"/>
      <c r="F43" s="18"/>
    </row>
    <row r="44" spans="1:6" s="19" customFormat="1" ht="18.75" customHeight="1" x14ac:dyDescent="0.2">
      <c r="A44" s="16"/>
      <c r="B44" s="16"/>
      <c r="C44" s="16"/>
      <c r="D44" s="16"/>
      <c r="E44" s="17"/>
      <c r="F44" s="18"/>
    </row>
    <row r="45" spans="1:6" s="19" customFormat="1" ht="18.75" customHeight="1" x14ac:dyDescent="0.2">
      <c r="A45" s="16"/>
      <c r="B45" s="16"/>
      <c r="C45" s="16"/>
      <c r="D45" s="16"/>
      <c r="E45" s="17"/>
      <c r="F45" s="18"/>
    </row>
    <row r="46" spans="1:6" s="19" customFormat="1" ht="18.75" customHeight="1" x14ac:dyDescent="0.2">
      <c r="A46" s="16"/>
      <c r="B46" s="16"/>
      <c r="C46" s="16"/>
      <c r="D46" s="16"/>
      <c r="E46" s="17"/>
      <c r="F46" s="18"/>
    </row>
    <row r="47" spans="1:6" s="19" customFormat="1" ht="18.75" customHeight="1" x14ac:dyDescent="0.2">
      <c r="A47" s="16"/>
      <c r="B47" s="16"/>
      <c r="C47" s="16"/>
      <c r="D47" s="16"/>
      <c r="E47" s="17"/>
      <c r="F47" s="18"/>
    </row>
    <row r="48" spans="1:6" s="19" customFormat="1" ht="18.75" customHeight="1" x14ac:dyDescent="0.2">
      <c r="A48" s="16"/>
      <c r="B48" s="16"/>
      <c r="C48" s="16"/>
      <c r="D48" s="16"/>
      <c r="E48" s="17"/>
      <c r="F48" s="18"/>
    </row>
    <row r="49" spans="1:6" s="19" customFormat="1" ht="18.75" customHeight="1" x14ac:dyDescent="0.2">
      <c r="A49" s="16"/>
      <c r="B49" s="16"/>
      <c r="C49" s="16"/>
      <c r="D49" s="16"/>
      <c r="E49" s="17"/>
      <c r="F49" s="18"/>
    </row>
    <row r="50" spans="1:6" s="19" customFormat="1" ht="18.75" customHeight="1" x14ac:dyDescent="0.2">
      <c r="A50" s="16"/>
      <c r="B50" s="16"/>
      <c r="C50" s="16"/>
      <c r="D50" s="16"/>
      <c r="E50" s="17"/>
      <c r="F50" s="18"/>
    </row>
    <row r="51" spans="1:6" s="19" customFormat="1" ht="18.75" customHeight="1" x14ac:dyDescent="0.2">
      <c r="A51" s="16"/>
      <c r="B51" s="16"/>
      <c r="C51" s="16"/>
      <c r="D51" s="16"/>
      <c r="E51" s="17"/>
      <c r="F51" s="18"/>
    </row>
    <row r="52" spans="1:6" s="19" customFormat="1" ht="18.75" customHeight="1" x14ac:dyDescent="0.2">
      <c r="A52" s="16"/>
      <c r="B52" s="16"/>
      <c r="C52" s="16"/>
      <c r="D52" s="16"/>
      <c r="E52" s="17"/>
      <c r="F52" s="18"/>
    </row>
    <row r="53" spans="1:6" s="19" customFormat="1" ht="18.75" hidden="1" customHeight="1" x14ac:dyDescent="0.2">
      <c r="A53" s="16"/>
      <c r="B53" s="16"/>
      <c r="C53" s="16"/>
      <c r="D53" s="16"/>
      <c r="E53" s="17"/>
      <c r="F53" s="18"/>
    </row>
    <row r="54" spans="1:6" s="19" customFormat="1" ht="18.75" customHeight="1" x14ac:dyDescent="0.2">
      <c r="A54" s="16"/>
      <c r="B54" s="16"/>
      <c r="C54" s="16"/>
      <c r="D54" s="16"/>
      <c r="E54" s="17"/>
      <c r="F54" s="18"/>
    </row>
    <row r="55" spans="1:6" s="19" customFormat="1" ht="18.75" customHeight="1" x14ac:dyDescent="0.2">
      <c r="A55" s="16"/>
      <c r="B55" s="16"/>
      <c r="C55" s="16"/>
      <c r="D55" s="16"/>
      <c r="E55" s="17"/>
      <c r="F55" s="18"/>
    </row>
    <row r="56" spans="1:6" s="173" customFormat="1" ht="18.75" customHeight="1" x14ac:dyDescent="0.25">
      <c r="A56" s="21"/>
      <c r="B56" s="636" t="s">
        <v>82</v>
      </c>
      <c r="C56" s="636"/>
      <c r="D56" s="21"/>
      <c r="E56" s="347">
        <f>SUM(E16:E54)</f>
        <v>444159847</v>
      </c>
      <c r="F56" s="161"/>
    </row>
    <row r="57" spans="1:6" s="19" customFormat="1" ht="18.75" customHeight="1" x14ac:dyDescent="0.2">
      <c r="A57" s="22" t="s">
        <v>4</v>
      </c>
      <c r="B57" s="22"/>
      <c r="C57" s="22"/>
      <c r="D57" s="22"/>
      <c r="E57" s="22"/>
      <c r="F57" s="22"/>
    </row>
    <row r="58" spans="1:6" s="24" customFormat="1" ht="16.5" customHeight="1" x14ac:dyDescent="0.2">
      <c r="A58" s="23"/>
      <c r="B58" s="23"/>
      <c r="C58" s="23"/>
      <c r="D58" s="23"/>
      <c r="E58" s="176">
        <f>+'BZA DE COMP'!H26-'B INMUEBLES'!E56</f>
        <v>0</v>
      </c>
      <c r="F58" s="25"/>
    </row>
    <row r="59" spans="1:6" x14ac:dyDescent="0.2">
      <c r="A59" s="6"/>
      <c r="B59" s="6"/>
      <c r="C59" s="6"/>
      <c r="D59" s="6"/>
      <c r="E59" s="6"/>
      <c r="F59" s="6"/>
    </row>
    <row r="60" spans="1:6" ht="15" x14ac:dyDescent="0.2">
      <c r="A60" s="6"/>
      <c r="B60" s="6"/>
      <c r="C60" s="6"/>
      <c r="D60" s="6"/>
      <c r="E60" s="26"/>
      <c r="F60" s="6"/>
    </row>
    <row r="61" spans="1:6" x14ac:dyDescent="0.2">
      <c r="A61" s="6"/>
      <c r="B61" s="6"/>
      <c r="C61" s="6"/>
      <c r="D61" s="6"/>
      <c r="E61" s="6"/>
      <c r="F61" s="6"/>
    </row>
    <row r="62" spans="1:6" x14ac:dyDescent="0.2">
      <c r="A62" s="6"/>
      <c r="B62" s="6"/>
      <c r="C62" s="6"/>
      <c r="D62" s="6"/>
      <c r="E62" s="6"/>
      <c r="F62" s="6"/>
    </row>
    <row r="63" spans="1:6" x14ac:dyDescent="0.2">
      <c r="A63" s="6"/>
      <c r="B63" s="6"/>
      <c r="C63" s="6"/>
      <c r="D63" s="6"/>
      <c r="E63" s="10"/>
      <c r="F63" s="6"/>
    </row>
    <row r="64" spans="1:6" x14ac:dyDescent="0.2">
      <c r="A64" s="6"/>
      <c r="B64" s="6"/>
      <c r="C64" s="6"/>
      <c r="D64" s="6"/>
      <c r="E64" s="6"/>
      <c r="F64" s="6"/>
    </row>
    <row r="65" spans="1:6" x14ac:dyDescent="0.2">
      <c r="A65" s="6"/>
      <c r="B65" s="6"/>
      <c r="C65" s="6"/>
      <c r="D65" s="6"/>
      <c r="E65" s="6"/>
      <c r="F65" s="6"/>
    </row>
    <row r="66" spans="1:6" x14ac:dyDescent="0.2">
      <c r="A66" s="6"/>
      <c r="B66" s="6"/>
      <c r="C66" s="6"/>
      <c r="D66" s="6"/>
      <c r="E66" s="10"/>
      <c r="F66" s="6"/>
    </row>
    <row r="67" spans="1:6" x14ac:dyDescent="0.2">
      <c r="A67" s="6"/>
      <c r="B67" s="6"/>
      <c r="C67" s="6"/>
      <c r="D67" s="6"/>
      <c r="E67" s="6"/>
      <c r="F67" s="6"/>
    </row>
    <row r="68" spans="1:6" x14ac:dyDescent="0.2">
      <c r="A68" s="6"/>
      <c r="B68" s="6"/>
      <c r="C68" s="6"/>
      <c r="D68" s="6"/>
      <c r="E68" s="6"/>
      <c r="F68" s="6"/>
    </row>
    <row r="69" spans="1:6" x14ac:dyDescent="0.2">
      <c r="A69" s="6"/>
      <c r="B69" s="6"/>
      <c r="C69" s="6"/>
      <c r="D69" s="6"/>
      <c r="E69" s="6"/>
      <c r="F69" s="6"/>
    </row>
    <row r="70" spans="1:6" x14ac:dyDescent="0.2">
      <c r="A70" s="6"/>
      <c r="B70" s="6"/>
      <c r="C70" s="6"/>
      <c r="D70" s="6"/>
      <c r="E70" s="6"/>
      <c r="F70" s="6"/>
    </row>
    <row r="71" spans="1:6" x14ac:dyDescent="0.2">
      <c r="A71" s="6"/>
      <c r="B71" s="6"/>
      <c r="C71" s="6"/>
      <c r="D71" s="6"/>
      <c r="E71" s="6"/>
      <c r="F71" s="6"/>
    </row>
    <row r="72" spans="1:6" x14ac:dyDescent="0.2">
      <c r="A72" s="6"/>
      <c r="B72" s="6"/>
      <c r="C72" s="6"/>
      <c r="D72" s="6"/>
      <c r="E72" s="6"/>
      <c r="F72" s="6"/>
    </row>
    <row r="73" spans="1:6" x14ac:dyDescent="0.2">
      <c r="A73" s="6"/>
      <c r="B73" s="6"/>
      <c r="C73" s="6"/>
      <c r="D73" s="6"/>
      <c r="E73" s="6"/>
      <c r="F73" s="6"/>
    </row>
    <row r="74" spans="1:6" x14ac:dyDescent="0.2">
      <c r="A74" s="6"/>
      <c r="B74" s="6"/>
      <c r="C74" s="6"/>
      <c r="D74" s="6"/>
      <c r="E74" s="6"/>
      <c r="F74" s="6"/>
    </row>
    <row r="75" spans="1:6" x14ac:dyDescent="0.2">
      <c r="A75" s="6"/>
      <c r="B75" s="6"/>
      <c r="C75" s="6"/>
      <c r="D75" s="6"/>
      <c r="E75" s="6"/>
      <c r="F75" s="6"/>
    </row>
    <row r="76" spans="1:6" x14ac:dyDescent="0.2">
      <c r="A76" s="6"/>
      <c r="B76" s="6"/>
      <c r="C76" s="6"/>
      <c r="D76" s="6"/>
      <c r="E76" s="6"/>
      <c r="F76" s="6"/>
    </row>
    <row r="77" spans="1:6" x14ac:dyDescent="0.2">
      <c r="A77" s="6"/>
      <c r="B77" s="6"/>
      <c r="C77" s="6"/>
      <c r="D77" s="6"/>
      <c r="E77" s="6"/>
      <c r="F77" s="6"/>
    </row>
    <row r="78" spans="1:6" x14ac:dyDescent="0.2">
      <c r="A78" s="6"/>
      <c r="B78" s="6"/>
      <c r="C78" s="6"/>
      <c r="D78" s="6"/>
      <c r="E78" s="6"/>
      <c r="F78" s="6"/>
    </row>
    <row r="79" spans="1:6" x14ac:dyDescent="0.2">
      <c r="A79" s="6"/>
      <c r="B79" s="6"/>
      <c r="C79" s="6"/>
      <c r="D79" s="6"/>
      <c r="E79" s="6"/>
      <c r="F79" s="6"/>
    </row>
    <row r="80" spans="1:6" x14ac:dyDescent="0.2">
      <c r="A80" s="6"/>
      <c r="B80" s="6"/>
      <c r="C80" s="6"/>
      <c r="D80" s="6"/>
      <c r="E80" s="6"/>
      <c r="F80" s="6"/>
    </row>
    <row r="81" spans="1:7" x14ac:dyDescent="0.2">
      <c r="A81" s="6"/>
      <c r="B81" s="6"/>
      <c r="C81" s="6"/>
      <c r="D81" s="6"/>
      <c r="E81" s="6"/>
      <c r="F81" s="6"/>
    </row>
    <row r="82" spans="1:7" x14ac:dyDescent="0.2">
      <c r="A82" s="6"/>
      <c r="B82" s="6"/>
      <c r="C82" s="6"/>
      <c r="D82" s="6"/>
      <c r="E82" s="6"/>
      <c r="F82" s="6"/>
    </row>
    <row r="83" spans="1:7" x14ac:dyDescent="0.2">
      <c r="A83" s="6"/>
      <c r="B83" s="6"/>
      <c r="C83" s="6"/>
      <c r="D83" s="6"/>
      <c r="E83" s="6"/>
      <c r="F83" s="6"/>
    </row>
    <row r="84" spans="1:7" x14ac:dyDescent="0.2">
      <c r="A84" s="6"/>
      <c r="B84" s="6"/>
      <c r="C84" s="6"/>
      <c r="D84" s="6"/>
      <c r="E84" s="6"/>
      <c r="F84" s="6"/>
    </row>
    <row r="85" spans="1:7" x14ac:dyDescent="0.2">
      <c r="A85" s="6"/>
      <c r="B85" s="6"/>
      <c r="C85" s="6"/>
      <c r="D85" s="6"/>
      <c r="E85" s="6"/>
      <c r="F85" s="6"/>
    </row>
    <row r="86" spans="1:7" x14ac:dyDescent="0.2">
      <c r="A86" s="6"/>
      <c r="B86" s="6"/>
      <c r="C86" s="6"/>
      <c r="D86" s="6"/>
      <c r="E86" s="6"/>
      <c r="F86" s="6"/>
    </row>
    <row r="87" spans="1:7" x14ac:dyDescent="0.2">
      <c r="A87" s="6"/>
      <c r="B87" s="6"/>
      <c r="C87" s="6"/>
      <c r="D87" s="6"/>
      <c r="E87" s="6"/>
      <c r="F87" s="6"/>
    </row>
    <row r="88" spans="1:7" x14ac:dyDescent="0.2">
      <c r="A88" s="6"/>
      <c r="B88" s="6"/>
      <c r="C88" s="6"/>
      <c r="D88" s="6"/>
      <c r="E88" s="6"/>
      <c r="F88" s="6"/>
    </row>
    <row r="89" spans="1:7" x14ac:dyDescent="0.2">
      <c r="A89" s="6"/>
      <c r="B89" s="6"/>
      <c r="C89" s="6"/>
      <c r="D89" s="6"/>
      <c r="E89" s="6"/>
      <c r="F89" s="6"/>
    </row>
    <row r="90" spans="1:7" x14ac:dyDescent="0.2">
      <c r="A90" s="11"/>
      <c r="B90" s="11"/>
      <c r="C90" s="11"/>
      <c r="D90" s="11"/>
      <c r="E90" s="11"/>
      <c r="F90" s="11"/>
    </row>
    <row r="91" spans="1:7" s="1" customFormat="1" x14ac:dyDescent="0.2">
      <c r="A91" s="7"/>
      <c r="B91" s="7"/>
      <c r="C91" s="7"/>
      <c r="D91" s="7"/>
      <c r="E91" s="7"/>
      <c r="F91" s="7"/>
    </row>
    <row r="92" spans="1:7" s="1" customFormat="1" x14ac:dyDescent="0.2">
      <c r="A92" s="9"/>
      <c r="B92" s="9"/>
      <c r="C92" s="9"/>
      <c r="D92" s="9"/>
      <c r="E92" s="9"/>
      <c r="F92" s="9"/>
    </row>
    <row r="93" spans="1:7" s="1" customFormat="1" ht="15" x14ac:dyDescent="0.25">
      <c r="A93" s="12"/>
      <c r="B93" s="12"/>
      <c r="C93" s="12"/>
      <c r="D93" s="12"/>
      <c r="E93" s="12"/>
      <c r="F93" s="12"/>
    </row>
    <row r="94" spans="1:7" s="8" customFormat="1" x14ac:dyDescent="0.2">
      <c r="A94" s="9"/>
      <c r="B94" s="9"/>
      <c r="C94" s="9"/>
      <c r="D94" s="9"/>
      <c r="E94" s="9"/>
      <c r="F94" s="9"/>
      <c r="G94" s="13"/>
    </row>
    <row r="95" spans="1:7" s="1" customFormat="1" x14ac:dyDescent="0.2">
      <c r="A95" s="14"/>
      <c r="B95" s="14"/>
      <c r="C95" s="14"/>
      <c r="D95" s="14"/>
      <c r="E95" s="14"/>
      <c r="F95" s="14"/>
    </row>
    <row r="96" spans="1:7" s="1" customFormat="1" x14ac:dyDescent="0.2">
      <c r="A96" s="15"/>
      <c r="B96" s="15"/>
      <c r="C96" s="15"/>
      <c r="D96" s="15"/>
      <c r="E96" s="15"/>
      <c r="F96" s="15"/>
    </row>
    <row r="97" spans="1:6" s="1" customFormat="1" x14ac:dyDescent="0.2">
      <c r="A97" s="15"/>
      <c r="B97" s="15"/>
      <c r="C97" s="15"/>
      <c r="D97" s="15"/>
      <c r="E97" s="15"/>
      <c r="F97" s="15"/>
    </row>
    <row r="98" spans="1:6" x14ac:dyDescent="0.2">
      <c r="A98" s="11"/>
      <c r="B98" s="11"/>
      <c r="C98" s="11"/>
      <c r="D98" s="11"/>
      <c r="E98" s="11"/>
      <c r="F98" s="11"/>
    </row>
    <row r="99" spans="1:6" x14ac:dyDescent="0.2">
      <c r="A99" s="11"/>
      <c r="B99" s="11"/>
      <c r="C99" s="11"/>
      <c r="D99" s="11"/>
      <c r="E99" s="11"/>
      <c r="F99" s="11"/>
    </row>
    <row r="100" spans="1:6" x14ac:dyDescent="0.2">
      <c r="A100" s="11"/>
      <c r="B100" s="11"/>
      <c r="C100" s="11"/>
      <c r="D100" s="11"/>
      <c r="E100" s="11"/>
      <c r="F100" s="11"/>
    </row>
    <row r="101" spans="1:6" x14ac:dyDescent="0.2">
      <c r="A101" s="11"/>
      <c r="B101" s="11"/>
      <c r="C101" s="11"/>
      <c r="D101" s="11"/>
      <c r="E101" s="11"/>
      <c r="F101" s="11"/>
    </row>
    <row r="102" spans="1:6" x14ac:dyDescent="0.2">
      <c r="A102" s="11"/>
      <c r="B102" s="11"/>
      <c r="C102" s="11"/>
      <c r="D102" s="11"/>
      <c r="E102" s="11"/>
      <c r="F102" s="11"/>
    </row>
    <row r="103" spans="1:6" x14ac:dyDescent="0.2">
      <c r="A103" s="11"/>
      <c r="B103" s="11"/>
      <c r="C103" s="11"/>
      <c r="D103" s="11"/>
      <c r="E103" s="11"/>
      <c r="F103" s="11"/>
    </row>
    <row r="104" spans="1:6" x14ac:dyDescent="0.2">
      <c r="A104" s="11"/>
      <c r="B104" s="11"/>
      <c r="C104" s="11"/>
      <c r="D104" s="11"/>
      <c r="E104" s="11"/>
      <c r="F104" s="11"/>
    </row>
    <row r="105" spans="1:6" x14ac:dyDescent="0.2">
      <c r="A105" s="11"/>
      <c r="B105" s="11"/>
      <c r="C105" s="11"/>
      <c r="D105" s="11"/>
      <c r="E105" s="11"/>
      <c r="F105" s="11"/>
    </row>
    <row r="106" spans="1:6" x14ac:dyDescent="0.2">
      <c r="A106" s="11"/>
      <c r="B106" s="11"/>
      <c r="C106" s="11"/>
      <c r="D106" s="11"/>
      <c r="E106" s="11"/>
      <c r="F106" s="11"/>
    </row>
  </sheetData>
  <mergeCells count="9">
    <mergeCell ref="A3:F3"/>
    <mergeCell ref="A4:F4"/>
    <mergeCell ref="A7:F7"/>
    <mergeCell ref="A8:F8"/>
    <mergeCell ref="B56:C56"/>
    <mergeCell ref="A9:F9"/>
    <mergeCell ref="A10:F10"/>
    <mergeCell ref="C13:C15"/>
    <mergeCell ref="E13:E15"/>
  </mergeCells>
  <phoneticPr fontId="10" type="noConversion"/>
  <printOptions horizontalCentered="1" verticalCentered="1"/>
  <pageMargins left="0.78740157480314965" right="0.78740157480314965" top="0.59055118110236227" bottom="0.59055118110236227" header="0" footer="0"/>
  <pageSetup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106"/>
  <sheetViews>
    <sheetView workbookViewId="0">
      <selection activeCell="H16" sqref="H16:K38"/>
    </sheetView>
  </sheetViews>
  <sheetFormatPr baseColWidth="10" defaultRowHeight="12.75" x14ac:dyDescent="0.2"/>
  <cols>
    <col min="1" max="2" width="4.28515625" customWidth="1"/>
    <col min="3" max="3" width="88.5703125" customWidth="1"/>
    <col min="4" max="4" width="4.28515625" customWidth="1"/>
    <col min="5" max="5" width="21.42578125" customWidth="1"/>
    <col min="6" max="6" width="4.28515625" customWidth="1"/>
    <col min="7" max="7" width="8.85546875" customWidth="1"/>
    <col min="8" max="8" width="13.85546875" bestFit="1" customWidth="1"/>
    <col min="9" max="9" width="12.85546875" bestFit="1" customWidth="1"/>
    <col min="10" max="10" width="12.85546875" customWidth="1"/>
  </cols>
  <sheetData>
    <row r="2" spans="1:11" ht="15" customHeight="1" x14ac:dyDescent="0.2"/>
    <row r="3" spans="1:11" ht="25.5" customHeight="1" x14ac:dyDescent="0.2">
      <c r="A3" s="634" t="s">
        <v>0</v>
      </c>
      <c r="B3" s="634"/>
      <c r="C3" s="634"/>
      <c r="D3" s="634"/>
      <c r="E3" s="634"/>
      <c r="F3" s="634"/>
    </row>
    <row r="4" spans="1:11" ht="25.5" customHeight="1" x14ac:dyDescent="0.2">
      <c r="A4" s="635" t="s">
        <v>106</v>
      </c>
      <c r="B4" s="635"/>
      <c r="C4" s="635"/>
      <c r="D4" s="635"/>
      <c r="E4" s="635"/>
      <c r="F4" s="635"/>
    </row>
    <row r="5" spans="1:11" ht="15" customHeight="1" x14ac:dyDescent="0.25">
      <c r="A5" s="2"/>
      <c r="B5" s="2"/>
      <c r="C5" s="2"/>
      <c r="D5" s="2"/>
      <c r="E5" s="2"/>
      <c r="F5" s="2"/>
    </row>
    <row r="6" spans="1:11" ht="15" customHeight="1" x14ac:dyDescent="0.25">
      <c r="A6" s="2"/>
      <c r="B6" s="2"/>
      <c r="C6" s="2"/>
      <c r="D6" s="2"/>
      <c r="E6" s="2"/>
      <c r="F6" s="2"/>
    </row>
    <row r="7" spans="1:11" ht="15" customHeight="1" x14ac:dyDescent="0.25">
      <c r="A7" s="638" t="s">
        <v>83</v>
      </c>
      <c r="B7" s="638"/>
      <c r="C7" s="638"/>
      <c r="D7" s="638"/>
      <c r="E7" s="638"/>
      <c r="F7" s="638"/>
    </row>
    <row r="8" spans="1:11" ht="15" customHeight="1" x14ac:dyDescent="0.25">
      <c r="A8" s="638" t="s">
        <v>970</v>
      </c>
      <c r="B8" s="638"/>
      <c r="C8" s="638"/>
      <c r="D8" s="638"/>
      <c r="E8" s="638"/>
      <c r="F8" s="638"/>
    </row>
    <row r="9" spans="1:11" ht="15" customHeight="1" x14ac:dyDescent="0.25">
      <c r="A9" s="638" t="s">
        <v>1</v>
      </c>
      <c r="B9" s="638"/>
      <c r="C9" s="638"/>
      <c r="D9" s="638"/>
      <c r="E9" s="638"/>
      <c r="F9" s="638"/>
    </row>
    <row r="10" spans="1:11" ht="15" customHeight="1" x14ac:dyDescent="0.2">
      <c r="A10" s="637"/>
      <c r="B10" s="637"/>
      <c r="C10" s="637"/>
      <c r="D10" s="637"/>
      <c r="E10" s="637"/>
      <c r="F10" s="637"/>
    </row>
    <row r="11" spans="1:11" ht="18.75" customHeight="1" x14ac:dyDescent="0.2">
      <c r="A11" s="3"/>
      <c r="B11" s="3"/>
      <c r="C11" s="3"/>
      <c r="D11" s="3"/>
      <c r="E11" s="3"/>
      <c r="F11" s="3"/>
    </row>
    <row r="12" spans="1:11" ht="18.75" customHeight="1" x14ac:dyDescent="0.25">
      <c r="A12" s="3"/>
      <c r="B12" s="3"/>
      <c r="C12" s="3"/>
      <c r="D12" s="3"/>
      <c r="E12" s="3"/>
      <c r="F12" s="3"/>
      <c r="H12" s="187"/>
    </row>
    <row r="13" spans="1:11" ht="18.75" customHeight="1" x14ac:dyDescent="0.2">
      <c r="A13" s="5"/>
      <c r="C13" s="629" t="s">
        <v>43</v>
      </c>
      <c r="D13" s="5"/>
      <c r="E13" s="629" t="s">
        <v>5</v>
      </c>
      <c r="F13" s="4"/>
    </row>
    <row r="14" spans="1:11" ht="18.75" customHeight="1" x14ac:dyDescent="0.2">
      <c r="A14" s="5"/>
      <c r="B14" s="147"/>
      <c r="C14" s="629"/>
      <c r="D14" s="5"/>
      <c r="E14" s="629" t="s">
        <v>5</v>
      </c>
      <c r="F14" s="4"/>
    </row>
    <row r="15" spans="1:11" ht="18.75" customHeight="1" x14ac:dyDescent="0.2">
      <c r="A15" s="5"/>
      <c r="B15" s="147"/>
      <c r="C15" s="629"/>
      <c r="D15" s="5"/>
      <c r="E15" s="629"/>
      <c r="F15" s="4"/>
    </row>
    <row r="16" spans="1:11" s="19" customFormat="1" ht="18.75" customHeight="1" x14ac:dyDescent="0.2">
      <c r="A16" s="16"/>
      <c r="B16" s="16"/>
      <c r="C16" s="16"/>
      <c r="D16" s="16"/>
      <c r="E16" s="17"/>
      <c r="F16" s="18"/>
      <c r="H16" s="378"/>
      <c r="I16" s="378"/>
      <c r="J16" s="378"/>
      <c r="K16" s="378"/>
    </row>
    <row r="17" spans="1:13" s="19" customFormat="1" ht="18.75" customHeight="1" x14ac:dyDescent="0.25">
      <c r="A17" s="16"/>
      <c r="B17" s="16"/>
      <c r="C17" s="16" t="s">
        <v>144</v>
      </c>
      <c r="D17" s="16"/>
      <c r="E17" s="17">
        <f>7362788+157138+1995+2876+64842+77696+338261+130152+110469</f>
        <v>8246217</v>
      </c>
      <c r="F17" s="18"/>
      <c r="H17" s="366"/>
      <c r="I17" s="378"/>
      <c r="J17" s="378"/>
      <c r="K17" s="378"/>
    </row>
    <row r="18" spans="1:13" s="19" customFormat="1" ht="18.75" customHeight="1" x14ac:dyDescent="0.25">
      <c r="A18" s="16"/>
      <c r="B18" s="16"/>
      <c r="C18" s="16"/>
      <c r="D18" s="16"/>
      <c r="E18" s="17"/>
      <c r="F18" s="18"/>
      <c r="I18" s="378"/>
      <c r="J18" s="187"/>
      <c r="K18" s="378"/>
    </row>
    <row r="19" spans="1:13" s="19" customFormat="1" ht="18.75" customHeight="1" x14ac:dyDescent="0.2">
      <c r="A19" s="16"/>
      <c r="B19" s="16"/>
      <c r="C19" s="16" t="s">
        <v>145</v>
      </c>
      <c r="D19" s="16"/>
      <c r="E19" s="17">
        <f>68531322+353194+198467+398057+78917+39934+10301+7262+5823+17284+12134+62696+100796+987341+5495+8816+607357</f>
        <v>71425196</v>
      </c>
      <c r="F19" s="18"/>
      <c r="H19" s="379"/>
      <c r="I19" s="378"/>
      <c r="J19" s="378"/>
      <c r="K19" s="481"/>
    </row>
    <row r="20" spans="1:13" s="19" customFormat="1" ht="18.75" customHeight="1" x14ac:dyDescent="0.2">
      <c r="A20" s="16"/>
      <c r="B20" s="16"/>
      <c r="C20" s="16"/>
      <c r="D20" s="16"/>
      <c r="E20" s="17"/>
      <c r="F20" s="18"/>
      <c r="I20" s="378"/>
      <c r="J20" s="481"/>
      <c r="K20" s="481"/>
      <c r="L20" s="254"/>
      <c r="M20" s="254"/>
    </row>
    <row r="21" spans="1:13" s="19" customFormat="1" ht="18.75" customHeight="1" x14ac:dyDescent="0.2">
      <c r="A21" s="16"/>
      <c r="B21" s="16"/>
      <c r="C21" s="16" t="s">
        <v>146</v>
      </c>
      <c r="D21" s="16"/>
      <c r="E21" s="17">
        <f>13350731+1973849+243800</f>
        <v>15568380</v>
      </c>
      <c r="F21" s="18"/>
      <c r="H21" s="562"/>
      <c r="I21" s="378"/>
      <c r="J21" s="481"/>
      <c r="K21" s="481"/>
      <c r="L21" s="254"/>
      <c r="M21" s="254"/>
    </row>
    <row r="22" spans="1:13" s="19" customFormat="1" ht="18.75" customHeight="1" x14ac:dyDescent="0.2">
      <c r="A22" s="16"/>
      <c r="C22" s="20"/>
      <c r="D22" s="20"/>
      <c r="E22" s="17"/>
      <c r="F22" s="18"/>
      <c r="I22" s="378"/>
      <c r="J22" s="481"/>
      <c r="K22" s="481"/>
      <c r="L22" s="254"/>
      <c r="M22" s="254"/>
    </row>
    <row r="23" spans="1:13" s="19" customFormat="1" ht="18.75" customHeight="1" x14ac:dyDescent="0.2">
      <c r="A23" s="16"/>
      <c r="C23" s="20" t="s">
        <v>147</v>
      </c>
      <c r="D23" s="20"/>
      <c r="E23" s="17">
        <f>2962695+20985+141671</f>
        <v>3125351</v>
      </c>
      <c r="F23" s="18"/>
      <c r="H23" s="378"/>
      <c r="I23" s="378"/>
      <c r="J23" s="481"/>
      <c r="K23" s="481"/>
      <c r="L23" s="254"/>
      <c r="M23" s="254"/>
    </row>
    <row r="24" spans="1:13" s="19" customFormat="1" ht="18.75" customHeight="1" x14ac:dyDescent="0.2">
      <c r="A24" s="16"/>
      <c r="C24" s="20"/>
      <c r="D24" s="20"/>
      <c r="E24" s="17"/>
      <c r="F24" s="18"/>
      <c r="I24" s="378"/>
      <c r="J24" s="481"/>
      <c r="K24" s="254"/>
      <c r="L24" s="254"/>
      <c r="M24" s="254"/>
    </row>
    <row r="25" spans="1:13" s="19" customFormat="1" ht="18.75" customHeight="1" x14ac:dyDescent="0.2">
      <c r="A25" s="16"/>
      <c r="C25" s="20" t="s">
        <v>148</v>
      </c>
      <c r="D25" s="20"/>
      <c r="E25" s="17">
        <f>31950157+514242+34241+156760+53870+16860+40275+10942+260803+2353508+499097</f>
        <v>35890755</v>
      </c>
      <c r="F25" s="18"/>
      <c r="H25" s="378"/>
      <c r="I25" s="378"/>
      <c r="J25" s="481"/>
      <c r="K25" s="254"/>
      <c r="L25" s="254"/>
      <c r="M25" s="254"/>
    </row>
    <row r="26" spans="1:13" s="19" customFormat="1" ht="18.75" customHeight="1" x14ac:dyDescent="0.2">
      <c r="A26" s="16"/>
      <c r="C26" s="20"/>
      <c r="D26" s="20"/>
      <c r="E26" s="17"/>
      <c r="F26" s="18"/>
      <c r="I26" s="378"/>
      <c r="J26" s="481"/>
      <c r="L26" s="254"/>
      <c r="M26" s="254"/>
    </row>
    <row r="27" spans="1:13" s="19" customFormat="1" ht="18.75" customHeight="1" x14ac:dyDescent="0.2">
      <c r="A27" s="16"/>
      <c r="C27" s="20" t="s">
        <v>149</v>
      </c>
      <c r="D27" s="20"/>
      <c r="E27" s="17">
        <f>255677+15738+94937+3755+3082</f>
        <v>373189</v>
      </c>
      <c r="F27" s="18"/>
      <c r="H27" s="378"/>
      <c r="I27" s="378"/>
      <c r="J27" s="481"/>
      <c r="L27" s="254"/>
      <c r="M27" s="254"/>
    </row>
    <row r="28" spans="1:13" s="19" customFormat="1" ht="18.75" customHeight="1" x14ac:dyDescent="0.2">
      <c r="A28" s="16"/>
      <c r="C28" s="20"/>
      <c r="D28" s="20"/>
      <c r="E28" s="17"/>
      <c r="F28" s="18"/>
      <c r="H28" s="481"/>
      <c r="I28" s="481"/>
      <c r="J28" s="481"/>
      <c r="L28" s="254"/>
      <c r="M28" s="254"/>
    </row>
    <row r="29" spans="1:13" s="19" customFormat="1" ht="18.75" customHeight="1" x14ac:dyDescent="0.25">
      <c r="A29" s="16"/>
      <c r="C29" s="187"/>
      <c r="D29" s="20"/>
      <c r="E29" s="17"/>
      <c r="F29" s="18"/>
      <c r="H29" s="482"/>
      <c r="I29" s="254"/>
      <c r="J29" s="254"/>
      <c r="L29" s="254"/>
      <c r="M29" s="254"/>
    </row>
    <row r="30" spans="1:13" s="19" customFormat="1" ht="18.75" customHeight="1" x14ac:dyDescent="0.2">
      <c r="A30" s="16"/>
      <c r="C30" s="20"/>
      <c r="D30" s="20"/>
      <c r="E30" s="17"/>
      <c r="F30" s="18"/>
      <c r="H30" s="254"/>
      <c r="I30" s="254"/>
      <c r="J30" s="254"/>
      <c r="L30" s="254"/>
      <c r="M30" s="254"/>
    </row>
    <row r="31" spans="1:13" s="19" customFormat="1" ht="18.75" customHeight="1" x14ac:dyDescent="0.2">
      <c r="A31" s="16"/>
      <c r="C31" s="20"/>
      <c r="D31" s="20"/>
      <c r="E31" s="17"/>
      <c r="F31" s="18"/>
    </row>
    <row r="32" spans="1:13" s="19" customFormat="1" ht="18.75" customHeight="1" x14ac:dyDescent="0.2">
      <c r="A32" s="16"/>
      <c r="C32" s="20"/>
      <c r="D32" s="20"/>
      <c r="E32" s="17"/>
      <c r="F32" s="18"/>
    </row>
    <row r="33" spans="1:6" s="19" customFormat="1" ht="18.75" customHeight="1" x14ac:dyDescent="0.2">
      <c r="A33" s="16"/>
      <c r="C33" s="20"/>
      <c r="D33" s="20"/>
      <c r="E33" s="17"/>
      <c r="F33" s="18"/>
    </row>
    <row r="34" spans="1:6" s="19" customFormat="1" ht="18.75" customHeight="1" x14ac:dyDescent="0.2">
      <c r="A34" s="16"/>
      <c r="C34" s="20"/>
      <c r="D34" s="20"/>
      <c r="E34" s="17"/>
      <c r="F34" s="18"/>
    </row>
    <row r="35" spans="1:6" s="19" customFormat="1" ht="18.75" customHeight="1" x14ac:dyDescent="0.2">
      <c r="A35" s="16"/>
      <c r="C35" s="20"/>
      <c r="D35" s="20"/>
      <c r="E35" s="17"/>
      <c r="F35" s="18"/>
    </row>
    <row r="36" spans="1:6" s="19" customFormat="1" ht="18.75" customHeight="1" x14ac:dyDescent="0.2">
      <c r="A36" s="16"/>
      <c r="C36" s="20"/>
      <c r="D36" s="20"/>
      <c r="E36" s="17"/>
      <c r="F36" s="18"/>
    </row>
    <row r="37" spans="1:6" s="19" customFormat="1" ht="18.75" customHeight="1" x14ac:dyDescent="0.2">
      <c r="A37" s="16"/>
      <c r="C37" s="20"/>
      <c r="D37" s="20"/>
      <c r="E37" s="17"/>
      <c r="F37" s="18"/>
    </row>
    <row r="38" spans="1:6" s="19" customFormat="1" ht="18.75" customHeight="1" x14ac:dyDescent="0.2">
      <c r="A38" s="16"/>
      <c r="C38" s="20"/>
      <c r="D38" s="20"/>
      <c r="E38" s="17"/>
      <c r="F38" s="18"/>
    </row>
    <row r="39" spans="1:6" s="19" customFormat="1" ht="18.75" customHeight="1" x14ac:dyDescent="0.2">
      <c r="A39" s="16"/>
      <c r="C39" s="20"/>
      <c r="D39" s="20"/>
      <c r="E39" s="17"/>
      <c r="F39" s="18"/>
    </row>
    <row r="40" spans="1:6" s="19" customFormat="1" ht="18.75" customHeight="1" x14ac:dyDescent="0.2">
      <c r="A40" s="16"/>
      <c r="C40" s="20"/>
      <c r="D40" s="20"/>
      <c r="E40" s="17"/>
      <c r="F40" s="18"/>
    </row>
    <row r="41" spans="1:6" s="19" customFormat="1" ht="18.75" customHeight="1" x14ac:dyDescent="0.2">
      <c r="A41" s="16"/>
      <c r="B41" s="16"/>
      <c r="C41" s="16"/>
      <c r="D41" s="16"/>
      <c r="E41" s="17"/>
      <c r="F41" s="18"/>
    </row>
    <row r="42" spans="1:6" s="19" customFormat="1" ht="18.75" customHeight="1" x14ac:dyDescent="0.2">
      <c r="A42" s="16"/>
      <c r="B42" s="16"/>
      <c r="C42" s="16"/>
      <c r="D42" s="16"/>
      <c r="E42" s="17"/>
      <c r="F42" s="18"/>
    </row>
    <row r="43" spans="1:6" s="19" customFormat="1" ht="18.75" customHeight="1" x14ac:dyDescent="0.2">
      <c r="A43" s="16"/>
      <c r="B43" s="16"/>
      <c r="C43" s="16"/>
      <c r="D43" s="16"/>
      <c r="E43" s="17"/>
      <c r="F43" s="18"/>
    </row>
    <row r="44" spans="1:6" s="19" customFormat="1" ht="18.75" customHeight="1" x14ac:dyDescent="0.2">
      <c r="A44" s="16"/>
      <c r="B44" s="16"/>
      <c r="C44" s="16"/>
      <c r="D44" s="16"/>
      <c r="E44" s="17"/>
      <c r="F44" s="18"/>
    </row>
    <row r="45" spans="1:6" s="19" customFormat="1" ht="18.75" customHeight="1" x14ac:dyDescent="0.2">
      <c r="A45" s="16"/>
      <c r="B45" s="16"/>
      <c r="C45" s="16"/>
      <c r="D45" s="16"/>
      <c r="E45" s="17"/>
      <c r="F45" s="18"/>
    </row>
    <row r="46" spans="1:6" s="19" customFormat="1" ht="18.75" customHeight="1" x14ac:dyDescent="0.2">
      <c r="A46" s="16"/>
      <c r="B46" s="16"/>
      <c r="C46" s="16"/>
      <c r="D46" s="16"/>
      <c r="E46" s="17"/>
      <c r="F46" s="18"/>
    </row>
    <row r="47" spans="1:6" s="19" customFormat="1" ht="18.75" customHeight="1" x14ac:dyDescent="0.2">
      <c r="A47" s="16"/>
      <c r="B47" s="16"/>
      <c r="C47" s="16"/>
      <c r="D47" s="16"/>
      <c r="E47" s="17"/>
      <c r="F47" s="18"/>
    </row>
    <row r="48" spans="1:6" s="19" customFormat="1" ht="18.75" customHeight="1" x14ac:dyDescent="0.2">
      <c r="A48" s="16"/>
      <c r="B48" s="16"/>
      <c r="C48" s="16"/>
      <c r="D48" s="16"/>
      <c r="E48" s="17"/>
      <c r="F48" s="18"/>
    </row>
    <row r="49" spans="1:11" s="19" customFormat="1" ht="18.75" customHeight="1" x14ac:dyDescent="0.2">
      <c r="A49" s="16"/>
      <c r="B49" s="16"/>
      <c r="C49" s="16"/>
      <c r="D49" s="16"/>
      <c r="E49" s="17"/>
      <c r="F49" s="18"/>
    </row>
    <row r="50" spans="1:11" s="19" customFormat="1" ht="18.75" customHeight="1" x14ac:dyDescent="0.2">
      <c r="A50" s="16"/>
      <c r="B50" s="16"/>
      <c r="C50" s="16"/>
      <c r="D50" s="16"/>
      <c r="E50" s="17"/>
      <c r="F50" s="18"/>
    </row>
    <row r="51" spans="1:11" s="19" customFormat="1" ht="18.75" customHeight="1" x14ac:dyDescent="0.25">
      <c r="A51" s="16"/>
      <c r="B51" s="16"/>
      <c r="C51" s="16"/>
      <c r="D51" s="16"/>
      <c r="E51" s="17"/>
      <c r="F51" s="18"/>
      <c r="K51" s="173"/>
    </row>
    <row r="52" spans="1:11" s="19" customFormat="1" ht="18.75" customHeight="1" x14ac:dyDescent="0.2">
      <c r="A52" s="16"/>
      <c r="B52" s="16"/>
      <c r="C52" s="16"/>
      <c r="D52" s="16"/>
      <c r="E52" s="17"/>
      <c r="F52" s="18"/>
    </row>
    <row r="53" spans="1:11" s="19" customFormat="1" ht="18.75" hidden="1" customHeight="1" x14ac:dyDescent="0.2">
      <c r="A53" s="16"/>
      <c r="B53" s="16"/>
      <c r="C53" s="16"/>
      <c r="D53" s="16"/>
      <c r="E53" s="17"/>
      <c r="F53" s="18"/>
      <c r="K53" s="24"/>
    </row>
    <row r="54" spans="1:11" s="19" customFormat="1" ht="18.75" customHeight="1" x14ac:dyDescent="0.2">
      <c r="A54" s="16"/>
      <c r="B54" s="16"/>
      <c r="C54" s="16"/>
      <c r="D54" s="16"/>
      <c r="E54" s="17"/>
      <c r="F54" s="18"/>
      <c r="K54"/>
    </row>
    <row r="55" spans="1:11" s="19" customFormat="1" ht="18.75" customHeight="1" x14ac:dyDescent="0.2">
      <c r="A55" s="16"/>
      <c r="B55" s="16"/>
      <c r="C55" s="16"/>
      <c r="D55" s="16"/>
      <c r="E55" s="17"/>
      <c r="F55" s="18"/>
      <c r="K55"/>
    </row>
    <row r="56" spans="1:11" s="173" customFormat="1" ht="18.75" customHeight="1" x14ac:dyDescent="0.25">
      <c r="A56" s="21"/>
      <c r="B56" s="636" t="s">
        <v>82</v>
      </c>
      <c r="C56" s="636"/>
      <c r="D56" s="21"/>
      <c r="E56" s="347">
        <f>SUM(E16:E54)</f>
        <v>134629088</v>
      </c>
      <c r="F56" s="161"/>
      <c r="K56"/>
    </row>
    <row r="57" spans="1:11" s="19" customFormat="1" ht="18.75" customHeight="1" x14ac:dyDescent="0.2">
      <c r="A57" s="22" t="s">
        <v>4</v>
      </c>
      <c r="B57" s="22"/>
      <c r="C57" s="22"/>
      <c r="D57" s="22"/>
      <c r="E57" s="22"/>
      <c r="F57" s="22"/>
      <c r="K57"/>
    </row>
    <row r="58" spans="1:11" s="24" customFormat="1" ht="16.5" customHeight="1" x14ac:dyDescent="0.2">
      <c r="A58" s="23"/>
      <c r="B58" s="23"/>
      <c r="C58" s="23"/>
      <c r="D58" s="23"/>
      <c r="E58" s="176">
        <f>+'BZA DE COMP'!H25-'B MUEBLES'!E56</f>
        <v>0</v>
      </c>
      <c r="F58" s="25"/>
      <c r="K58"/>
    </row>
    <row r="59" spans="1:11" x14ac:dyDescent="0.2">
      <c r="A59" s="6"/>
      <c r="B59" s="6"/>
      <c r="C59" s="6"/>
      <c r="D59" s="6"/>
      <c r="E59" s="6"/>
      <c r="F59" s="6"/>
    </row>
    <row r="60" spans="1:11" ht="15" x14ac:dyDescent="0.2">
      <c r="A60" s="6"/>
      <c r="B60" s="6"/>
      <c r="C60" s="6"/>
      <c r="D60" s="6"/>
      <c r="E60" s="26"/>
      <c r="F60" s="6"/>
    </row>
    <row r="61" spans="1:11" x14ac:dyDescent="0.2">
      <c r="A61" s="6"/>
      <c r="B61" s="6"/>
      <c r="C61" s="6"/>
      <c r="D61" s="6"/>
      <c r="E61" s="6"/>
      <c r="F61" s="6"/>
    </row>
    <row r="62" spans="1:11" x14ac:dyDescent="0.2">
      <c r="A62" s="6"/>
      <c r="B62" s="6"/>
      <c r="C62" s="6"/>
      <c r="D62" s="6"/>
      <c r="E62" s="6"/>
      <c r="F62" s="6"/>
    </row>
    <row r="63" spans="1:11" x14ac:dyDescent="0.2">
      <c r="A63" s="6"/>
      <c r="B63" s="6"/>
      <c r="C63" s="6"/>
      <c r="D63" s="6"/>
      <c r="E63" s="10"/>
      <c r="F63" s="6"/>
    </row>
    <row r="64" spans="1:11" x14ac:dyDescent="0.2">
      <c r="A64" s="6"/>
      <c r="B64" s="6"/>
      <c r="C64" s="6"/>
      <c r="D64" s="6"/>
      <c r="E64" s="6"/>
      <c r="F64" s="6"/>
    </row>
    <row r="65" spans="1:6" x14ac:dyDescent="0.2">
      <c r="A65" s="6"/>
      <c r="B65" s="6"/>
      <c r="C65" s="6"/>
      <c r="D65" s="6"/>
      <c r="E65" s="6"/>
      <c r="F65" s="6"/>
    </row>
    <row r="66" spans="1:6" x14ac:dyDescent="0.2">
      <c r="A66" s="6"/>
      <c r="B66" s="6"/>
      <c r="C66" s="6"/>
      <c r="D66" s="6"/>
      <c r="E66" s="10"/>
      <c r="F66" s="6"/>
    </row>
    <row r="67" spans="1:6" x14ac:dyDescent="0.2">
      <c r="A67" s="6"/>
      <c r="B67" s="6"/>
      <c r="C67" s="6"/>
      <c r="D67" s="6"/>
      <c r="E67" s="6"/>
      <c r="F67" s="6"/>
    </row>
    <row r="68" spans="1:6" x14ac:dyDescent="0.2">
      <c r="A68" s="6"/>
      <c r="B68" s="6"/>
      <c r="C68" s="6"/>
      <c r="D68" s="6"/>
      <c r="E68" s="6"/>
      <c r="F68" s="6"/>
    </row>
    <row r="69" spans="1:6" x14ac:dyDescent="0.2">
      <c r="A69" s="6"/>
      <c r="B69" s="6"/>
      <c r="C69" s="6"/>
      <c r="D69" s="6"/>
      <c r="E69" s="6"/>
      <c r="F69" s="6"/>
    </row>
    <row r="70" spans="1:6" x14ac:dyDescent="0.2">
      <c r="A70" s="6"/>
      <c r="B70" s="6"/>
      <c r="C70" s="6"/>
      <c r="D70" s="6"/>
      <c r="E70" s="6"/>
      <c r="F70" s="6"/>
    </row>
    <row r="71" spans="1:6" x14ac:dyDescent="0.2">
      <c r="A71" s="6"/>
      <c r="B71" s="6"/>
      <c r="C71" s="6"/>
      <c r="D71" s="6"/>
      <c r="E71" s="6"/>
      <c r="F71" s="6"/>
    </row>
    <row r="72" spans="1:6" x14ac:dyDescent="0.2">
      <c r="A72" s="6"/>
      <c r="B72" s="6"/>
      <c r="C72" s="6"/>
      <c r="D72" s="6"/>
      <c r="E72" s="6"/>
      <c r="F72" s="6"/>
    </row>
    <row r="73" spans="1:6" x14ac:dyDescent="0.2">
      <c r="A73" s="6"/>
      <c r="B73" s="6"/>
      <c r="C73" s="6"/>
      <c r="D73" s="6"/>
      <c r="E73" s="6"/>
      <c r="F73" s="6"/>
    </row>
    <row r="74" spans="1:6" x14ac:dyDescent="0.2">
      <c r="A74" s="6"/>
      <c r="B74" s="6"/>
      <c r="C74" s="6"/>
      <c r="D74" s="6"/>
      <c r="E74" s="6"/>
      <c r="F74" s="6"/>
    </row>
    <row r="75" spans="1:6" x14ac:dyDescent="0.2">
      <c r="A75" s="6"/>
      <c r="B75" s="6"/>
      <c r="C75" s="6"/>
      <c r="D75" s="6"/>
      <c r="E75" s="6"/>
      <c r="F75" s="6"/>
    </row>
    <row r="76" spans="1:6" x14ac:dyDescent="0.2">
      <c r="A76" s="6"/>
      <c r="B76" s="6"/>
      <c r="C76" s="6"/>
      <c r="D76" s="6"/>
      <c r="E76" s="6"/>
      <c r="F76" s="6"/>
    </row>
    <row r="77" spans="1:6" x14ac:dyDescent="0.2">
      <c r="A77" s="6"/>
      <c r="B77" s="6"/>
      <c r="C77" s="6"/>
      <c r="D77" s="6"/>
      <c r="E77" s="6"/>
      <c r="F77" s="6"/>
    </row>
    <row r="78" spans="1:6" x14ac:dyDescent="0.2">
      <c r="A78" s="6"/>
      <c r="B78" s="6"/>
      <c r="C78" s="6"/>
      <c r="D78" s="6"/>
      <c r="E78" s="6"/>
      <c r="F78" s="6"/>
    </row>
    <row r="79" spans="1:6" x14ac:dyDescent="0.2">
      <c r="A79" s="6"/>
      <c r="B79" s="6"/>
      <c r="C79" s="6"/>
      <c r="D79" s="6"/>
      <c r="E79" s="6"/>
      <c r="F79" s="6"/>
    </row>
    <row r="80" spans="1:6" x14ac:dyDescent="0.2">
      <c r="A80" s="6"/>
      <c r="B80" s="6"/>
      <c r="C80" s="6"/>
      <c r="D80" s="6"/>
      <c r="E80" s="6"/>
      <c r="F80" s="6"/>
    </row>
    <row r="81" spans="1:11" x14ac:dyDescent="0.2">
      <c r="A81" s="6"/>
      <c r="B81" s="6"/>
      <c r="C81" s="6"/>
      <c r="D81" s="6"/>
      <c r="E81" s="6"/>
      <c r="F81" s="6"/>
    </row>
    <row r="82" spans="1:11" x14ac:dyDescent="0.2">
      <c r="A82" s="6"/>
      <c r="B82" s="6"/>
      <c r="C82" s="6"/>
      <c r="D82" s="6"/>
      <c r="E82" s="6"/>
      <c r="F82" s="6"/>
    </row>
    <row r="83" spans="1:11" x14ac:dyDescent="0.2">
      <c r="A83" s="6"/>
      <c r="B83" s="6"/>
      <c r="C83" s="6"/>
      <c r="D83" s="6"/>
      <c r="E83" s="6"/>
      <c r="F83" s="6"/>
    </row>
    <row r="84" spans="1:11" x14ac:dyDescent="0.2">
      <c r="A84" s="6"/>
      <c r="B84" s="6"/>
      <c r="C84" s="6"/>
      <c r="D84" s="6"/>
      <c r="E84" s="6"/>
      <c r="F84" s="6"/>
    </row>
    <row r="85" spans="1:11" x14ac:dyDescent="0.2">
      <c r="A85" s="6"/>
      <c r="B85" s="6"/>
      <c r="C85" s="6"/>
      <c r="D85" s="6"/>
      <c r="E85" s="6"/>
      <c r="F85" s="6"/>
    </row>
    <row r="86" spans="1:11" x14ac:dyDescent="0.2">
      <c r="A86" s="6"/>
      <c r="B86" s="6"/>
      <c r="C86" s="6"/>
      <c r="D86" s="6"/>
      <c r="E86" s="6"/>
      <c r="F86" s="6"/>
      <c r="K86" s="1"/>
    </row>
    <row r="87" spans="1:11" x14ac:dyDescent="0.2">
      <c r="A87" s="6"/>
      <c r="B87" s="6"/>
      <c r="C87" s="6"/>
      <c r="D87" s="6"/>
      <c r="E87" s="6"/>
      <c r="F87" s="6"/>
      <c r="K87" s="1"/>
    </row>
    <row r="88" spans="1:11" x14ac:dyDescent="0.2">
      <c r="A88" s="6"/>
      <c r="B88" s="6"/>
      <c r="C88" s="6"/>
      <c r="D88" s="6"/>
      <c r="E88" s="6"/>
      <c r="F88" s="6"/>
      <c r="K88" s="1"/>
    </row>
    <row r="89" spans="1:11" x14ac:dyDescent="0.2">
      <c r="A89" s="6"/>
      <c r="B89" s="6"/>
      <c r="C89" s="6"/>
      <c r="D89" s="6"/>
      <c r="E89" s="6"/>
      <c r="F89" s="6"/>
      <c r="K89" s="8"/>
    </row>
    <row r="90" spans="1:11" x14ac:dyDescent="0.2">
      <c r="A90" s="11"/>
      <c r="B90" s="11"/>
      <c r="C90" s="11"/>
      <c r="D90" s="11"/>
      <c r="E90" s="11"/>
      <c r="F90" s="11"/>
      <c r="K90" s="1"/>
    </row>
    <row r="91" spans="1:11" s="1" customFormat="1" x14ac:dyDescent="0.2">
      <c r="A91" s="7"/>
      <c r="B91" s="7"/>
      <c r="C91" s="7"/>
      <c r="D91" s="7"/>
      <c r="E91" s="7"/>
      <c r="F91" s="7"/>
    </row>
    <row r="92" spans="1:11" s="1" customFormat="1" x14ac:dyDescent="0.2">
      <c r="A92" s="9"/>
      <c r="B92" s="9"/>
      <c r="C92" s="9"/>
      <c r="D92" s="9"/>
      <c r="E92" s="9"/>
      <c r="F92" s="9"/>
    </row>
    <row r="93" spans="1:11" s="1" customFormat="1" ht="15" x14ac:dyDescent="0.25">
      <c r="A93" s="12"/>
      <c r="B93" s="12"/>
      <c r="C93" s="12"/>
      <c r="D93" s="12"/>
      <c r="E93" s="12"/>
      <c r="F93" s="12"/>
      <c r="K93"/>
    </row>
    <row r="94" spans="1:11" s="8" customFormat="1" x14ac:dyDescent="0.2">
      <c r="A94" s="9"/>
      <c r="B94" s="9"/>
      <c r="C94" s="9"/>
      <c r="D94" s="9"/>
      <c r="E94" s="9"/>
      <c r="F94" s="9"/>
      <c r="G94" s="13"/>
      <c r="K94"/>
    </row>
    <row r="95" spans="1:11" s="1" customFormat="1" x14ac:dyDescent="0.2">
      <c r="A95" s="14"/>
      <c r="B95" s="14"/>
      <c r="C95" s="14"/>
      <c r="D95" s="14"/>
      <c r="E95" s="14"/>
      <c r="F95" s="14"/>
      <c r="K95"/>
    </row>
    <row r="96" spans="1:11" s="1" customFormat="1" x14ac:dyDescent="0.2">
      <c r="A96" s="15"/>
      <c r="B96" s="15"/>
      <c r="C96" s="15"/>
      <c r="D96" s="15"/>
      <c r="E96" s="15"/>
      <c r="F96" s="15"/>
      <c r="K96"/>
    </row>
    <row r="97" spans="1:11" s="1" customFormat="1" x14ac:dyDescent="0.2">
      <c r="A97" s="15"/>
      <c r="B97" s="15"/>
      <c r="C97" s="15"/>
      <c r="D97" s="15"/>
      <c r="E97" s="15"/>
      <c r="F97" s="15"/>
      <c r="K97"/>
    </row>
    <row r="98" spans="1:11" x14ac:dyDescent="0.2">
      <c r="A98" s="11"/>
      <c r="B98" s="11"/>
      <c r="C98" s="11"/>
      <c r="D98" s="11"/>
      <c r="E98" s="11"/>
      <c r="F98" s="11"/>
    </row>
    <row r="99" spans="1:11" x14ac:dyDescent="0.2">
      <c r="A99" s="11"/>
      <c r="B99" s="11"/>
      <c r="C99" s="11"/>
      <c r="D99" s="11"/>
      <c r="E99" s="11"/>
      <c r="F99" s="11"/>
    </row>
    <row r="100" spans="1:11" x14ac:dyDescent="0.2">
      <c r="A100" s="11"/>
      <c r="B100" s="11"/>
      <c r="C100" s="11"/>
      <c r="D100" s="11"/>
      <c r="E100" s="11"/>
      <c r="F100" s="11"/>
    </row>
    <row r="101" spans="1:11" x14ac:dyDescent="0.2">
      <c r="A101" s="11"/>
      <c r="B101" s="11"/>
      <c r="C101" s="11"/>
      <c r="D101" s="11"/>
      <c r="E101" s="11"/>
      <c r="F101" s="11"/>
    </row>
    <row r="102" spans="1:11" x14ac:dyDescent="0.2">
      <c r="A102" s="11"/>
      <c r="B102" s="11"/>
      <c r="C102" s="11"/>
      <c r="D102" s="11"/>
      <c r="E102" s="11"/>
      <c r="F102" s="11"/>
    </row>
    <row r="103" spans="1:11" x14ac:dyDescent="0.2">
      <c r="A103" s="11"/>
      <c r="B103" s="11"/>
      <c r="C103" s="11"/>
      <c r="D103" s="11"/>
      <c r="E103" s="11"/>
      <c r="F103" s="11"/>
    </row>
    <row r="104" spans="1:11" x14ac:dyDescent="0.2">
      <c r="A104" s="11"/>
      <c r="B104" s="11"/>
      <c r="C104" s="11"/>
      <c r="D104" s="11"/>
      <c r="E104" s="11"/>
      <c r="F104" s="11"/>
    </row>
    <row r="105" spans="1:11" x14ac:dyDescent="0.2">
      <c r="A105" s="11"/>
      <c r="B105" s="11"/>
      <c r="C105" s="11"/>
      <c r="D105" s="11"/>
      <c r="E105" s="11"/>
      <c r="F105" s="11"/>
    </row>
    <row r="106" spans="1:11" x14ac:dyDescent="0.2">
      <c r="A106" s="11"/>
      <c r="B106" s="11"/>
      <c r="C106" s="11"/>
      <c r="D106" s="11"/>
      <c r="E106" s="11"/>
      <c r="F106" s="11"/>
    </row>
  </sheetData>
  <mergeCells count="9">
    <mergeCell ref="A3:F3"/>
    <mergeCell ref="A4:F4"/>
    <mergeCell ref="A7:F7"/>
    <mergeCell ref="A8:F8"/>
    <mergeCell ref="B56:C56"/>
    <mergeCell ref="A9:F9"/>
    <mergeCell ref="A10:F10"/>
    <mergeCell ref="C13:C15"/>
    <mergeCell ref="E13:E15"/>
  </mergeCells>
  <phoneticPr fontId="10" type="noConversion"/>
  <printOptions horizontalCentered="1" verticalCentered="1"/>
  <pageMargins left="0.78740157480314965" right="0.78740157480314965" top="0.59055118110236227" bottom="0.59055118110236227" header="0" footer="0"/>
  <pageSetup scale="7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52</vt:i4>
      </vt:variant>
    </vt:vector>
  </HeadingPairs>
  <TitlesOfParts>
    <vt:vector size="75" baseType="lpstr">
      <vt:lpstr>INDICE</vt:lpstr>
      <vt:lpstr>EDO ING Y EGR</vt:lpstr>
      <vt:lpstr>EDO ORG Y APL</vt:lpstr>
      <vt:lpstr>BZA DE COMP</vt:lpstr>
      <vt:lpstr>NOTAS</vt:lpstr>
      <vt:lpstr>BANCOS</vt:lpstr>
      <vt:lpstr>CTAS. POR COBRAR</vt:lpstr>
      <vt:lpstr>B INMUEBLES</vt:lpstr>
      <vt:lpstr>B MUEBLES</vt:lpstr>
      <vt:lpstr>ACREEDORES</vt:lpstr>
      <vt:lpstr>GRAF-SIT FRA</vt:lpstr>
      <vt:lpstr>GRAF-ING Y EGR</vt:lpstr>
      <vt:lpstr>INGRESOS BIMESTRAL</vt:lpstr>
      <vt:lpstr>INGRESOS ACUMULADO</vt:lpstr>
      <vt:lpstr>EGRESOS BIMESTRAL</vt:lpstr>
      <vt:lpstr>EGRESOS ACUMULADO</vt:lpstr>
      <vt:lpstr>PATRIMONIO</vt:lpstr>
      <vt:lpstr>MOD PATRIMONIAL</vt:lpstr>
      <vt:lpstr>MOD EJ ANT</vt:lpstr>
      <vt:lpstr>ING PROPIOS</vt:lpstr>
      <vt:lpstr>PLANTILLA PERSONAL</vt:lpstr>
      <vt:lpstr>EDO PPTO ING</vt:lpstr>
      <vt:lpstr>EDO PPTO EG</vt:lpstr>
      <vt:lpstr>ACREEDORES!Área_de_impresión</vt:lpstr>
      <vt:lpstr>'B INMUEBLES'!Área_de_impresión</vt:lpstr>
      <vt:lpstr>'B MUEBLES'!Área_de_impresión</vt:lpstr>
      <vt:lpstr>BANCOS!Área_de_impresión</vt:lpstr>
      <vt:lpstr>'BZA DE COMP'!Área_de_impresión</vt:lpstr>
      <vt:lpstr>'CTAS. POR COBRAR'!Área_de_impresión</vt:lpstr>
      <vt:lpstr>'EDO ING Y EGR'!Área_de_impresión</vt:lpstr>
      <vt:lpstr>'EDO ORG Y APL'!Área_de_impresión</vt:lpstr>
      <vt:lpstr>'EDO PPTO EG'!Área_de_impresión</vt:lpstr>
      <vt:lpstr>'EDO PPTO ING'!Área_de_impresión</vt:lpstr>
      <vt:lpstr>'EGRESOS ACUMULADO'!Área_de_impresión</vt:lpstr>
      <vt:lpstr>'EGRESOS BIMESTRAL'!Área_de_impresión</vt:lpstr>
      <vt:lpstr>'GRAF-ING Y EGR'!Área_de_impresión</vt:lpstr>
      <vt:lpstr>'GRAF-SIT FRA'!Área_de_impresión</vt:lpstr>
      <vt:lpstr>INDICE!Área_de_impresión</vt:lpstr>
      <vt:lpstr>'ING PROPIOS'!Área_de_impresión</vt:lpstr>
      <vt:lpstr>'INGRESOS ACUMULADO'!Área_de_impresión</vt:lpstr>
      <vt:lpstr>'INGRESOS BIMESTRAL'!Área_de_impresión</vt:lpstr>
      <vt:lpstr>'MOD EJ ANT'!Área_de_impresión</vt:lpstr>
      <vt:lpstr>'MOD PATRIMONIAL'!Área_de_impresión</vt:lpstr>
      <vt:lpstr>NOTAS!Área_de_impresión</vt:lpstr>
      <vt:lpstr>PATRIMONIO!Área_de_impresión</vt:lpstr>
      <vt:lpstr>'PLANTILLA PERSONAL'!Área_de_impresión</vt:lpstr>
      <vt:lpstr>ACREEDORES!Print_Area</vt:lpstr>
      <vt:lpstr>'B INMUEBLES'!Print_Area</vt:lpstr>
      <vt:lpstr>'B MUEBLES'!Print_Area</vt:lpstr>
      <vt:lpstr>BANCOS!Print_Area</vt:lpstr>
      <vt:lpstr>'BZA DE COMP'!Print_Area</vt:lpstr>
      <vt:lpstr>'CTAS. POR COBRAR'!Print_Area</vt:lpstr>
      <vt:lpstr>'EDO ING Y EGR'!Print_Area</vt:lpstr>
      <vt:lpstr>'EDO ORG Y APL'!Print_Area</vt:lpstr>
      <vt:lpstr>'EDO PPTO EG'!Print_Area</vt:lpstr>
      <vt:lpstr>'EDO PPTO ING'!Print_Area</vt:lpstr>
      <vt:lpstr>'EGRESOS ACUMULADO'!Print_Area</vt:lpstr>
      <vt:lpstr>'EGRESOS BIMESTRAL'!Print_Area</vt:lpstr>
      <vt:lpstr>'GRAF-ING Y EGR'!Print_Area</vt:lpstr>
      <vt:lpstr>'GRAF-SIT FRA'!Print_Area</vt:lpstr>
      <vt:lpstr>INDICE!Print_Area</vt:lpstr>
      <vt:lpstr>'ING PROPIOS'!Print_Area</vt:lpstr>
      <vt:lpstr>'INGRESOS ACUMULADO'!Print_Area</vt:lpstr>
      <vt:lpstr>'INGRESOS BIMESTRAL'!Print_Area</vt:lpstr>
      <vt:lpstr>'MOD PATRIMONIAL'!Print_Area</vt:lpstr>
      <vt:lpstr>NOTAS!Print_Area</vt:lpstr>
      <vt:lpstr>PATRIMONIO!Print_Area</vt:lpstr>
      <vt:lpstr>'PLANTILLA PERSONAL'!Print_Area</vt:lpstr>
      <vt:lpstr>'CTAS. POR COBRAR'!Print_Titles</vt:lpstr>
      <vt:lpstr>'EDO PPTO EG'!Print_Titles</vt:lpstr>
      <vt:lpstr>'EDO PPTO ING'!Print_Titles</vt:lpstr>
      <vt:lpstr>'MOD PATRIMONIAL'!Print_Titles</vt:lpstr>
      <vt:lpstr>'PLANTILLA PERSONAL'!Print_Titles</vt:lpstr>
      <vt:lpstr>'CTAS. POR COBRAR'!Títulos_a_imprimir</vt:lpstr>
      <vt:lpstr>'EDO PPTO EG'!Títulos_a_imprimir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</dc:creator>
  <cp:lastModifiedBy>C. P. ARTURO C. P.</cp:lastModifiedBy>
  <cp:lastPrinted>2016-01-05T16:49:18Z</cp:lastPrinted>
  <dcterms:created xsi:type="dcterms:W3CDTF">2008-02-08T10:11:00Z</dcterms:created>
  <dcterms:modified xsi:type="dcterms:W3CDTF">2016-01-05T16:58:57Z</dcterms:modified>
</cp:coreProperties>
</file>