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Armonizada 31 DICIEMBRE 2016\"/>
    </mc:Choice>
  </mc:AlternateContent>
  <bookViews>
    <workbookView xWindow="0" yWindow="0" windowWidth="11325" windowHeight="4710" firstSheet="3" activeTab="3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 a)" sheetId="46" r:id="rId9"/>
    <sheet name="Formato 6 b)" sheetId="47" r:id="rId10"/>
    <sheet name="Formato 6 c)" sheetId="48" r:id="rId11"/>
    <sheet name="Formato 6 d)" sheetId="49" r:id="rId12"/>
    <sheet name="BALANZA" sheetId="17" r:id="rId13"/>
  </sheets>
  <externalReferences>
    <externalReference r:id="rId14"/>
    <externalReference r:id="rId15"/>
    <externalReference r:id="rId16"/>
  </externalReferences>
  <definedNames>
    <definedName name="_ftn1" localSheetId="12">BALANZA!$A$757</definedName>
    <definedName name="_ftn1" localSheetId="0">'BALANZA (2)'!$A$745</definedName>
    <definedName name="_ftnref1" localSheetId="12">BALANZA!$A$703</definedName>
    <definedName name="_ftnref1" localSheetId="0">'BALANZA (2)'!$A$691</definedName>
    <definedName name="_xlnm.Print_Area" localSheetId="3">'Formato 1'!$B$2:$I$103</definedName>
    <definedName name="_xlnm.Print_Area" localSheetId="4">'Formato 2'!$B$2:$K$61</definedName>
    <definedName name="_xlnm.Print_Area" localSheetId="5">'Formato 3'!$B$2:$M$34</definedName>
    <definedName name="_xlnm.Print_Area" localSheetId="6">'Formato 4'!$B$1:$G$85</definedName>
    <definedName name="_xlnm.Print_Area" localSheetId="7">'Formato 5'!$B$1:$J$85</definedName>
    <definedName name="_xlnm.Print_Area" localSheetId="8">'Formato 6 a)'!$B$1:$I$167</definedName>
    <definedName name="_xlnm.Print_Area" localSheetId="9">'Formato 6 b)'!$B$1:$H$37</definedName>
    <definedName name="_xlnm.Print_Area" localSheetId="10">'Formato 6 c)'!$B$1:$I$90</definedName>
    <definedName name="_xlnm.Print_Area" localSheetId="11">'Formato 6 d)'!$B$1:$H$38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52511"/>
</workbook>
</file>

<file path=xl/calcChain.xml><?xml version="1.0" encoding="utf-8"?>
<calcChain xmlns="http://schemas.openxmlformats.org/spreadsheetml/2006/main">
  <c r="I54" i="46" l="1"/>
  <c r="I52" i="46"/>
  <c r="J20" i="42" l="1"/>
  <c r="J16" i="42"/>
  <c r="J15" i="42"/>
  <c r="J14" i="42"/>
  <c r="I44" i="42" l="1"/>
  <c r="I16" i="42"/>
  <c r="I20" i="42"/>
  <c r="I15" i="42"/>
  <c r="I14" i="42"/>
  <c r="G53" i="41"/>
  <c r="G11" i="41"/>
  <c r="N698" i="17"/>
  <c r="V698" i="17" s="1"/>
  <c r="V697" i="17"/>
  <c r="N697" i="17"/>
  <c r="N696" i="17"/>
  <c r="V696" i="17" s="1"/>
  <c r="V695" i="17"/>
  <c r="N695" i="17"/>
  <c r="U694" i="17"/>
  <c r="R694" i="17"/>
  <c r="R686" i="17" s="1"/>
  <c r="R664" i="17" s="1"/>
  <c r="Q694" i="17"/>
  <c r="P694" i="17"/>
  <c r="O694" i="17"/>
  <c r="N694" i="17"/>
  <c r="N686" i="17" s="1"/>
  <c r="N664" i="17" s="1"/>
  <c r="M694" i="17"/>
  <c r="L694" i="17"/>
  <c r="K694" i="17"/>
  <c r="J694" i="17"/>
  <c r="J686" i="17" s="1"/>
  <c r="J664" i="17" s="1"/>
  <c r="I694" i="17"/>
  <c r="H694" i="17"/>
  <c r="G694" i="17"/>
  <c r="U686" i="17"/>
  <c r="Q686" i="17"/>
  <c r="P686" i="17"/>
  <c r="P664" i="17" s="1"/>
  <c r="O686" i="17"/>
  <c r="K686" i="17"/>
  <c r="I686" i="17"/>
  <c r="H686" i="17"/>
  <c r="G686" i="17"/>
  <c r="U664" i="17"/>
  <c r="Q664" i="17"/>
  <c r="O664" i="17"/>
  <c r="K664" i="17"/>
  <c r="I664" i="17"/>
  <c r="H664" i="17"/>
  <c r="G664" i="17"/>
  <c r="V605" i="17"/>
  <c r="N605" i="17"/>
  <c r="M605" i="17"/>
  <c r="G605" i="17"/>
  <c r="V604" i="17"/>
  <c r="N604" i="17"/>
  <c r="M604" i="17"/>
  <c r="G604" i="17"/>
  <c r="V603" i="17"/>
  <c r="N603" i="17"/>
  <c r="N602" i="17"/>
  <c r="V602" i="17" s="1"/>
  <c r="V601" i="17"/>
  <c r="V599" i="17" s="1"/>
  <c r="N601" i="17"/>
  <c r="N600" i="17"/>
  <c r="V600" i="17" s="1"/>
  <c r="U599" i="17"/>
  <c r="R599" i="17"/>
  <c r="Q599" i="17"/>
  <c r="P599" i="17"/>
  <c r="O599" i="17"/>
  <c r="K599" i="17"/>
  <c r="J599" i="17"/>
  <c r="I599" i="17"/>
  <c r="H599" i="17"/>
  <c r="G599" i="17"/>
  <c r="V598" i="17"/>
  <c r="N598" i="17"/>
  <c r="N597" i="17"/>
  <c r="V597" i="17" s="1"/>
  <c r="V596" i="17"/>
  <c r="N596" i="17"/>
  <c r="G596" i="17"/>
  <c r="N595" i="17"/>
  <c r="V594" i="17"/>
  <c r="N594" i="17"/>
  <c r="G594" i="17"/>
  <c r="U593" i="17"/>
  <c r="R593" i="17"/>
  <c r="Q593" i="17"/>
  <c r="P593" i="17"/>
  <c r="O593" i="17"/>
  <c r="K593" i="17"/>
  <c r="J593" i="17"/>
  <c r="I593" i="17"/>
  <c r="H593" i="17"/>
  <c r="G593" i="17"/>
  <c r="V592" i="17"/>
  <c r="N592" i="17"/>
  <c r="N591" i="17"/>
  <c r="V591" i="17" s="1"/>
  <c r="V590" i="17"/>
  <c r="N590" i="17"/>
  <c r="G590" i="17"/>
  <c r="N589" i="17"/>
  <c r="V589" i="17" s="1"/>
  <c r="M589" i="17"/>
  <c r="G589" i="17"/>
  <c r="N588" i="17"/>
  <c r="V588" i="17" s="1"/>
  <c r="M588" i="17"/>
  <c r="G588" i="17"/>
  <c r="N587" i="17"/>
  <c r="V587" i="17" s="1"/>
  <c r="G587" i="17"/>
  <c r="U586" i="17"/>
  <c r="R586" i="17"/>
  <c r="Q586" i="17"/>
  <c r="P586" i="17"/>
  <c r="O586" i="17"/>
  <c r="K586" i="17"/>
  <c r="J586" i="17"/>
  <c r="I586" i="17"/>
  <c r="H586" i="17"/>
  <c r="G586" i="17"/>
  <c r="N585" i="17"/>
  <c r="V585" i="17" s="1"/>
  <c r="V584" i="17" s="1"/>
  <c r="G585" i="17"/>
  <c r="U584" i="17"/>
  <c r="R584" i="17"/>
  <c r="Q584" i="17"/>
  <c r="P584" i="17"/>
  <c r="O584" i="17"/>
  <c r="N584" i="17"/>
  <c r="K584" i="17"/>
  <c r="J584" i="17"/>
  <c r="I584" i="17"/>
  <c r="H584" i="17"/>
  <c r="G584" i="17"/>
  <c r="V583" i="17"/>
  <c r="N583" i="17"/>
  <c r="G583" i="17"/>
  <c r="V582" i="17"/>
  <c r="N582" i="17"/>
  <c r="G582" i="17"/>
  <c r="N581" i="17"/>
  <c r="V581" i="17" s="1"/>
  <c r="M581" i="17"/>
  <c r="G581" i="17"/>
  <c r="N580" i="17"/>
  <c r="G580" i="17"/>
  <c r="N579" i="17"/>
  <c r="V579" i="17" s="1"/>
  <c r="G579" i="17"/>
  <c r="G577" i="17" s="1"/>
  <c r="V578" i="17"/>
  <c r="N578" i="17"/>
  <c r="G578" i="17"/>
  <c r="U577" i="17"/>
  <c r="R577" i="17"/>
  <c r="Q577" i="17"/>
  <c r="P577" i="17"/>
  <c r="P552" i="17" s="1"/>
  <c r="O577" i="17"/>
  <c r="K577" i="17"/>
  <c r="J577" i="17"/>
  <c r="I577" i="17"/>
  <c r="H577" i="17"/>
  <c r="V576" i="17"/>
  <c r="N576" i="17"/>
  <c r="M576" i="17"/>
  <c r="G576" i="17"/>
  <c r="V575" i="17"/>
  <c r="N575" i="17"/>
  <c r="N574" i="17"/>
  <c r="V574" i="17" s="1"/>
  <c r="V573" i="17"/>
  <c r="N573" i="17"/>
  <c r="G573" i="17"/>
  <c r="U572" i="17"/>
  <c r="R572" i="17"/>
  <c r="Q572" i="17"/>
  <c r="P572" i="17"/>
  <c r="O572" i="17"/>
  <c r="N572" i="17"/>
  <c r="K572" i="17"/>
  <c r="J572" i="17"/>
  <c r="H572" i="17"/>
  <c r="H552" i="17" s="1"/>
  <c r="G572" i="17"/>
  <c r="N571" i="17"/>
  <c r="V571" i="17" s="1"/>
  <c r="G571" i="17"/>
  <c r="M570" i="17"/>
  <c r="N570" i="17" s="1"/>
  <c r="V570" i="17" s="1"/>
  <c r="G570" i="17"/>
  <c r="V569" i="17"/>
  <c r="N569" i="17"/>
  <c r="M569" i="17"/>
  <c r="G569" i="17"/>
  <c r="N568" i="17"/>
  <c r="V568" i="17" s="1"/>
  <c r="M568" i="17"/>
  <c r="G568" i="17"/>
  <c r="N567" i="17"/>
  <c r="V567" i="17" s="1"/>
  <c r="G567" i="17"/>
  <c r="V566" i="17"/>
  <c r="N566" i="17"/>
  <c r="G566" i="17"/>
  <c r="N565" i="17"/>
  <c r="V565" i="17" s="1"/>
  <c r="G565" i="17"/>
  <c r="M564" i="17"/>
  <c r="N564" i="17" s="1"/>
  <c r="U563" i="17"/>
  <c r="R563" i="17"/>
  <c r="Q563" i="17"/>
  <c r="P563" i="17"/>
  <c r="O563" i="17"/>
  <c r="K563" i="17"/>
  <c r="J563" i="17"/>
  <c r="I563" i="17"/>
  <c r="H563" i="17"/>
  <c r="N562" i="17"/>
  <c r="N561" i="17" s="1"/>
  <c r="M562" i="17"/>
  <c r="G562" i="17"/>
  <c r="U561" i="17"/>
  <c r="R561" i="17"/>
  <c r="Q561" i="17"/>
  <c r="Q552" i="17" s="1"/>
  <c r="P561" i="17"/>
  <c r="O561" i="17"/>
  <c r="K561" i="17"/>
  <c r="J561" i="17"/>
  <c r="I561" i="17"/>
  <c r="H561" i="17"/>
  <c r="G561" i="17"/>
  <c r="N560" i="17"/>
  <c r="V560" i="17" s="1"/>
  <c r="N559" i="17"/>
  <c r="V559" i="17" s="1"/>
  <c r="M559" i="17"/>
  <c r="G559" i="17"/>
  <c r="N558" i="17"/>
  <c r="V558" i="17" s="1"/>
  <c r="G558" i="17"/>
  <c r="M557" i="17"/>
  <c r="N557" i="17" s="1"/>
  <c r="V557" i="17" s="1"/>
  <c r="G557" i="17"/>
  <c r="M556" i="17"/>
  <c r="G556" i="17"/>
  <c r="N555" i="17"/>
  <c r="V555" i="17" s="1"/>
  <c r="V554" i="17"/>
  <c r="N554" i="17"/>
  <c r="G554" i="17"/>
  <c r="U553" i="17"/>
  <c r="R553" i="17"/>
  <c r="R552" i="17" s="1"/>
  <c r="Q553" i="17"/>
  <c r="P553" i="17"/>
  <c r="O553" i="17"/>
  <c r="L553" i="17"/>
  <c r="K553" i="17"/>
  <c r="K552" i="17" s="1"/>
  <c r="J553" i="17"/>
  <c r="I553" i="17"/>
  <c r="H553" i="17"/>
  <c r="G553" i="17"/>
  <c r="L552" i="17"/>
  <c r="I552" i="17"/>
  <c r="N551" i="17"/>
  <c r="V551" i="17" s="1"/>
  <c r="V550" i="17"/>
  <c r="N550" i="17"/>
  <c r="N549" i="17"/>
  <c r="V548" i="17"/>
  <c r="N548" i="17"/>
  <c r="U547" i="17"/>
  <c r="R547" i="17"/>
  <c r="Q547" i="17"/>
  <c r="P547" i="17"/>
  <c r="O547" i="17"/>
  <c r="K547" i="17"/>
  <c r="J547" i="17"/>
  <c r="I547" i="17"/>
  <c r="H547" i="17"/>
  <c r="G547" i="17"/>
  <c r="N546" i="17"/>
  <c r="U545" i="17"/>
  <c r="R545" i="17"/>
  <c r="Q545" i="17"/>
  <c r="P545" i="17"/>
  <c r="O545" i="17"/>
  <c r="K545" i="17"/>
  <c r="K520" i="17" s="1"/>
  <c r="J545" i="17"/>
  <c r="I545" i="17"/>
  <c r="H545" i="17"/>
  <c r="G545" i="17"/>
  <c r="V544" i="17"/>
  <c r="N544" i="17"/>
  <c r="N543" i="17"/>
  <c r="V542" i="17"/>
  <c r="N542" i="17"/>
  <c r="U541" i="17"/>
  <c r="R541" i="17"/>
  <c r="Q541" i="17"/>
  <c r="P541" i="17"/>
  <c r="O541" i="17"/>
  <c r="K541" i="17"/>
  <c r="J541" i="17"/>
  <c r="I541" i="17"/>
  <c r="H541" i="17"/>
  <c r="G541" i="17"/>
  <c r="N540" i="17"/>
  <c r="M540" i="17"/>
  <c r="G540" i="17"/>
  <c r="U539" i="17"/>
  <c r="R539" i="17"/>
  <c r="Q539" i="17"/>
  <c r="P539" i="17"/>
  <c r="O539" i="17"/>
  <c r="K539" i="17"/>
  <c r="J539" i="17"/>
  <c r="I539" i="17"/>
  <c r="H539" i="17"/>
  <c r="G539" i="17"/>
  <c r="N538" i="17"/>
  <c r="V537" i="17"/>
  <c r="N537" i="17"/>
  <c r="U536" i="17"/>
  <c r="R536" i="17"/>
  <c r="Q536" i="17"/>
  <c r="P536" i="17"/>
  <c r="O536" i="17"/>
  <c r="K536" i="17"/>
  <c r="J536" i="17"/>
  <c r="I536" i="17"/>
  <c r="H536" i="17"/>
  <c r="G536" i="17"/>
  <c r="N535" i="17"/>
  <c r="V535" i="17" s="1"/>
  <c r="G535" i="17"/>
  <c r="M534" i="17"/>
  <c r="N534" i="17" s="1"/>
  <c r="V534" i="17" s="1"/>
  <c r="G534" i="17"/>
  <c r="M533" i="17"/>
  <c r="N533" i="17" s="1"/>
  <c r="V533" i="17" s="1"/>
  <c r="G533" i="17"/>
  <c r="U532" i="17"/>
  <c r="R532" i="17"/>
  <c r="Q532" i="17"/>
  <c r="P532" i="17"/>
  <c r="O532" i="17"/>
  <c r="N532" i="17"/>
  <c r="K532" i="17"/>
  <c r="J532" i="17"/>
  <c r="I532" i="17"/>
  <c r="H532" i="17"/>
  <c r="H520" i="17" s="1"/>
  <c r="G532" i="17"/>
  <c r="V531" i="17"/>
  <c r="N530" i="17"/>
  <c r="V530" i="17" s="1"/>
  <c r="M530" i="17"/>
  <c r="G530" i="17"/>
  <c r="N529" i="17"/>
  <c r="M529" i="17"/>
  <c r="G529" i="17"/>
  <c r="U528" i="17"/>
  <c r="R528" i="17"/>
  <c r="Q528" i="17"/>
  <c r="P528" i="17"/>
  <c r="O528" i="17"/>
  <c r="K528" i="17"/>
  <c r="J528" i="17"/>
  <c r="I528" i="17"/>
  <c r="H528" i="17"/>
  <c r="G528" i="17"/>
  <c r="N527" i="17"/>
  <c r="V527" i="17" s="1"/>
  <c r="V526" i="17"/>
  <c r="N526" i="17"/>
  <c r="G526" i="17"/>
  <c r="V525" i="17"/>
  <c r="N525" i="17"/>
  <c r="M525" i="17"/>
  <c r="G525" i="17"/>
  <c r="V524" i="17"/>
  <c r="N524" i="17"/>
  <c r="M524" i="17"/>
  <c r="G524" i="17"/>
  <c r="V523" i="17"/>
  <c r="N523" i="17"/>
  <c r="M522" i="17"/>
  <c r="G522" i="17"/>
  <c r="G521" i="17" s="1"/>
  <c r="U521" i="17"/>
  <c r="R521" i="17"/>
  <c r="R520" i="17" s="1"/>
  <c r="Q521" i="17"/>
  <c r="P521" i="17"/>
  <c r="O521" i="17"/>
  <c r="L521" i="17"/>
  <c r="K521" i="17"/>
  <c r="J521" i="17"/>
  <c r="J520" i="17" s="1"/>
  <c r="I521" i="17"/>
  <c r="I520" i="17" s="1"/>
  <c r="H521" i="17"/>
  <c r="P520" i="17"/>
  <c r="L520" i="17"/>
  <c r="L504" i="17" s="1"/>
  <c r="L503" i="17" s="1"/>
  <c r="V519" i="17"/>
  <c r="U517" i="17"/>
  <c r="R517" i="17"/>
  <c r="Q517" i="17"/>
  <c r="P517" i="17"/>
  <c r="O517" i="17"/>
  <c r="N517" i="17"/>
  <c r="K517" i="17"/>
  <c r="J517" i="17"/>
  <c r="I517" i="17"/>
  <c r="H517" i="17"/>
  <c r="G517" i="17"/>
  <c r="M516" i="17"/>
  <c r="N516" i="17" s="1"/>
  <c r="V516" i="17" s="1"/>
  <c r="G516" i="17"/>
  <c r="M515" i="17"/>
  <c r="G515" i="17"/>
  <c r="G514" i="17" s="1"/>
  <c r="U514" i="17"/>
  <c r="R514" i="17"/>
  <c r="Q514" i="17"/>
  <c r="P514" i="17"/>
  <c r="O514" i="17"/>
  <c r="K514" i="17"/>
  <c r="J514" i="17"/>
  <c r="I514" i="17"/>
  <c r="I505" i="17" s="1"/>
  <c r="H514" i="17"/>
  <c r="N513" i="17"/>
  <c r="V513" i="17" s="1"/>
  <c r="V512" i="17"/>
  <c r="N512" i="17"/>
  <c r="M512" i="17"/>
  <c r="V511" i="17"/>
  <c r="N511" i="17"/>
  <c r="M511" i="17"/>
  <c r="G511" i="17"/>
  <c r="V510" i="17"/>
  <c r="U510" i="17"/>
  <c r="R510" i="17"/>
  <c r="Q510" i="17"/>
  <c r="P510" i="17"/>
  <c r="O510" i="17"/>
  <c r="M510" i="17"/>
  <c r="K510" i="17"/>
  <c r="J510" i="17"/>
  <c r="I510" i="17"/>
  <c r="H510" i="17"/>
  <c r="G510" i="17"/>
  <c r="V509" i="17"/>
  <c r="N509" i="17"/>
  <c r="G509" i="17"/>
  <c r="V508" i="17"/>
  <c r="U508" i="17"/>
  <c r="R508" i="17"/>
  <c r="Q508" i="17"/>
  <c r="P508" i="17"/>
  <c r="O508" i="17"/>
  <c r="N508" i="17"/>
  <c r="K508" i="17"/>
  <c r="J508" i="17"/>
  <c r="I508" i="17"/>
  <c r="H508" i="17"/>
  <c r="G508" i="17"/>
  <c r="V507" i="17"/>
  <c r="N507" i="17"/>
  <c r="N506" i="17" s="1"/>
  <c r="M507" i="17"/>
  <c r="G507" i="17"/>
  <c r="V506" i="17"/>
  <c r="U506" i="17"/>
  <c r="U505" i="17" s="1"/>
  <c r="R506" i="17"/>
  <c r="Q506" i="17"/>
  <c r="P506" i="17"/>
  <c r="O506" i="17"/>
  <c r="O505" i="17" s="1"/>
  <c r="M506" i="17"/>
  <c r="L506" i="17"/>
  <c r="L505" i="17" s="1"/>
  <c r="K506" i="17"/>
  <c r="K505" i="17" s="1"/>
  <c r="J506" i="17"/>
  <c r="I506" i="17"/>
  <c r="H506" i="17"/>
  <c r="G506" i="17"/>
  <c r="G505" i="17" s="1"/>
  <c r="R505" i="17"/>
  <c r="R504" i="17" s="1"/>
  <c r="R503" i="17" s="1"/>
  <c r="Q505" i="17"/>
  <c r="J505" i="17"/>
  <c r="V474" i="17"/>
  <c r="V473" i="17"/>
  <c r="T472" i="17"/>
  <c r="S471" i="17"/>
  <c r="R471" i="17"/>
  <c r="Q471" i="17"/>
  <c r="P471" i="17"/>
  <c r="O471" i="17"/>
  <c r="N471" i="17"/>
  <c r="K471" i="17"/>
  <c r="J471" i="17"/>
  <c r="I471" i="17"/>
  <c r="H471" i="17"/>
  <c r="G471" i="17"/>
  <c r="U461" i="17"/>
  <c r="V461" i="17" s="1"/>
  <c r="T460" i="17"/>
  <c r="U460" i="17" s="1"/>
  <c r="G460" i="17"/>
  <c r="G459" i="17" s="1"/>
  <c r="G450" i="17" s="1"/>
  <c r="T459" i="17"/>
  <c r="S459" i="17"/>
  <c r="S450" i="17" s="1"/>
  <c r="R459" i="17"/>
  <c r="R450" i="17" s="1"/>
  <c r="Q459" i="17"/>
  <c r="P459" i="17"/>
  <c r="O459" i="17"/>
  <c r="O450" i="17" s="1"/>
  <c r="N459" i="17"/>
  <c r="N450" i="17" s="1"/>
  <c r="K459" i="17"/>
  <c r="J459" i="17"/>
  <c r="I459" i="17"/>
  <c r="I450" i="17" s="1"/>
  <c r="H459" i="17"/>
  <c r="H450" i="17" s="1"/>
  <c r="T450" i="17"/>
  <c r="Q450" i="17"/>
  <c r="P450" i="17"/>
  <c r="K450" i="17"/>
  <c r="J450" i="17"/>
  <c r="V449" i="17"/>
  <c r="U449" i="17"/>
  <c r="U448" i="17"/>
  <c r="V448" i="17" s="1"/>
  <c r="T447" i="17"/>
  <c r="U447" i="17" s="1"/>
  <c r="G447" i="17"/>
  <c r="V446" i="17"/>
  <c r="U446" i="17"/>
  <c r="T446" i="17"/>
  <c r="G446" i="17"/>
  <c r="G445" i="17" s="1"/>
  <c r="T445" i="17"/>
  <c r="S445" i="17"/>
  <c r="S441" i="17" s="1"/>
  <c r="R445" i="17"/>
  <c r="R441" i="17" s="1"/>
  <c r="Q445" i="17"/>
  <c r="P445" i="17"/>
  <c r="O445" i="17"/>
  <c r="O441" i="17" s="1"/>
  <c r="N445" i="17"/>
  <c r="N441" i="17" s="1"/>
  <c r="K445" i="17"/>
  <c r="J445" i="17"/>
  <c r="I445" i="17"/>
  <c r="I441" i="17" s="1"/>
  <c r="H445" i="17"/>
  <c r="H441" i="17" s="1"/>
  <c r="T441" i="17"/>
  <c r="Q441" i="17"/>
  <c r="P441" i="17"/>
  <c r="K441" i="17"/>
  <c r="J441" i="17"/>
  <c r="G441" i="17"/>
  <c r="T440" i="17"/>
  <c r="U440" i="17" s="1"/>
  <c r="V440" i="17" s="1"/>
  <c r="G440" i="17"/>
  <c r="T439" i="17"/>
  <c r="U439" i="17" s="1"/>
  <c r="V439" i="17" s="1"/>
  <c r="G439" i="17"/>
  <c r="V438" i="17"/>
  <c r="U438" i="17"/>
  <c r="U437" i="17"/>
  <c r="V437" i="17" s="1"/>
  <c r="T437" i="17"/>
  <c r="T432" i="17" s="1"/>
  <c r="T427" i="17" s="1"/>
  <c r="T409" i="17" s="1"/>
  <c r="G437" i="17"/>
  <c r="U436" i="17"/>
  <c r="V435" i="17"/>
  <c r="U435" i="17"/>
  <c r="T435" i="17"/>
  <c r="G435" i="17"/>
  <c r="V434" i="17"/>
  <c r="U434" i="17"/>
  <c r="G434" i="17"/>
  <c r="V433" i="17"/>
  <c r="U433" i="17"/>
  <c r="T433" i="17"/>
  <c r="G433" i="17"/>
  <c r="S432" i="17"/>
  <c r="R432" i="17"/>
  <c r="R427" i="17" s="1"/>
  <c r="R409" i="17" s="1"/>
  <c r="R408" i="17" s="1"/>
  <c r="Q432" i="17"/>
  <c r="Q427" i="17" s="1"/>
  <c r="P432" i="17"/>
  <c r="O432" i="17"/>
  <c r="N432" i="17"/>
  <c r="N427" i="17" s="1"/>
  <c r="N409" i="17" s="1"/>
  <c r="N408" i="17" s="1"/>
  <c r="K432" i="17"/>
  <c r="K427" i="17" s="1"/>
  <c r="J432" i="17"/>
  <c r="I432" i="17"/>
  <c r="H432" i="17"/>
  <c r="H427" i="17" s="1"/>
  <c r="H409" i="17" s="1"/>
  <c r="H408" i="17" s="1"/>
  <c r="S427" i="17"/>
  <c r="P427" i="17"/>
  <c r="P409" i="17" s="1"/>
  <c r="P408" i="17" s="1"/>
  <c r="O427" i="17"/>
  <c r="J427" i="17"/>
  <c r="J409" i="17" s="1"/>
  <c r="I427" i="17"/>
  <c r="J408" i="17"/>
  <c r="V407" i="17"/>
  <c r="U406" i="17"/>
  <c r="S406" i="17"/>
  <c r="N406" i="17"/>
  <c r="U405" i="17"/>
  <c r="R405" i="17"/>
  <c r="Q405" i="17"/>
  <c r="Q403" i="17" s="1"/>
  <c r="P405" i="17"/>
  <c r="O405" i="17"/>
  <c r="K405" i="17"/>
  <c r="K403" i="17" s="1"/>
  <c r="J405" i="17"/>
  <c r="I405" i="17"/>
  <c r="H405" i="17"/>
  <c r="G405" i="17"/>
  <c r="G403" i="17" s="1"/>
  <c r="G368" i="17" s="1"/>
  <c r="U403" i="17"/>
  <c r="R403" i="17"/>
  <c r="P403" i="17"/>
  <c r="O403" i="17"/>
  <c r="J403" i="17"/>
  <c r="I403" i="17"/>
  <c r="H403" i="17"/>
  <c r="V390" i="17"/>
  <c r="V389" i="17"/>
  <c r="V388" i="17"/>
  <c r="V387" i="17"/>
  <c r="V386" i="17"/>
  <c r="V385" i="17"/>
  <c r="V384" i="17"/>
  <c r="V383" i="17"/>
  <c r="V382" i="17"/>
  <c r="V381" i="17"/>
  <c r="V380" i="17"/>
  <c r="V379" i="17"/>
  <c r="V378" i="17"/>
  <c r="V375" i="17" s="1"/>
  <c r="V377" i="17"/>
  <c r="V376" i="17"/>
  <c r="U375" i="17"/>
  <c r="U373" i="17" s="1"/>
  <c r="R375" i="17"/>
  <c r="Q375" i="17"/>
  <c r="P375" i="17"/>
  <c r="O375" i="17"/>
  <c r="O373" i="17" s="1"/>
  <c r="N375" i="17"/>
  <c r="K375" i="17"/>
  <c r="J375" i="17"/>
  <c r="I375" i="17"/>
  <c r="I373" i="17" s="1"/>
  <c r="H375" i="17"/>
  <c r="G375" i="17"/>
  <c r="R373" i="17"/>
  <c r="Q373" i="17"/>
  <c r="P373" i="17"/>
  <c r="N373" i="17"/>
  <c r="K373" i="17"/>
  <c r="J373" i="17"/>
  <c r="H373" i="17"/>
  <c r="G373" i="17"/>
  <c r="U368" i="17"/>
  <c r="R368" i="17"/>
  <c r="P368" i="17"/>
  <c r="O368" i="17"/>
  <c r="J368" i="17"/>
  <c r="I368" i="17"/>
  <c r="H368" i="17"/>
  <c r="U328" i="17"/>
  <c r="N328" i="17"/>
  <c r="T327" i="17"/>
  <c r="S327" i="17"/>
  <c r="M327" i="17"/>
  <c r="L327" i="17"/>
  <c r="N327" i="17" s="1"/>
  <c r="V326" i="17"/>
  <c r="T326" i="17"/>
  <c r="S326" i="17"/>
  <c r="U326" i="17" s="1"/>
  <c r="N326" i="17"/>
  <c r="M326" i="17"/>
  <c r="L326" i="17"/>
  <c r="V325" i="17"/>
  <c r="U325" i="17"/>
  <c r="N325" i="17"/>
  <c r="T324" i="17"/>
  <c r="U324" i="17" s="1"/>
  <c r="V324" i="17" s="1"/>
  <c r="N324" i="17"/>
  <c r="M324" i="17"/>
  <c r="U323" i="17"/>
  <c r="V323" i="17" s="1"/>
  <c r="T323" i="17"/>
  <c r="S323" i="17"/>
  <c r="M323" i="17"/>
  <c r="N323" i="17" s="1"/>
  <c r="N321" i="17" s="1"/>
  <c r="N316" i="17" s="1"/>
  <c r="L323" i="17"/>
  <c r="U322" i="17"/>
  <c r="N322" i="17"/>
  <c r="R321" i="17"/>
  <c r="R316" i="17" s="1"/>
  <c r="Q321" i="17"/>
  <c r="Q316" i="17" s="1"/>
  <c r="P321" i="17"/>
  <c r="O321" i="17"/>
  <c r="K321" i="17"/>
  <c r="J321" i="17"/>
  <c r="I321" i="17"/>
  <c r="H321" i="17"/>
  <c r="H316" i="17" s="1"/>
  <c r="H254" i="17" s="1"/>
  <c r="H253" i="17" s="1"/>
  <c r="G321" i="17"/>
  <c r="T316" i="17"/>
  <c r="S316" i="17"/>
  <c r="P316" i="17"/>
  <c r="P254" i="17" s="1"/>
  <c r="P253" i="17" s="1"/>
  <c r="O316" i="17"/>
  <c r="M316" i="17"/>
  <c r="L316" i="17"/>
  <c r="K316" i="17"/>
  <c r="K254" i="17" s="1"/>
  <c r="K253" i="17" s="1"/>
  <c r="J316" i="17"/>
  <c r="I316" i="17"/>
  <c r="G316" i="17"/>
  <c r="G254" i="17" s="1"/>
  <c r="G253" i="17" s="1"/>
  <c r="T300" i="17"/>
  <c r="S300" i="17"/>
  <c r="U300" i="17" s="1"/>
  <c r="M300" i="17"/>
  <c r="L300" i="17"/>
  <c r="N300" i="17" s="1"/>
  <c r="T299" i="17"/>
  <c r="S299" i="17"/>
  <c r="U299" i="17" s="1"/>
  <c r="V299" i="17" s="1"/>
  <c r="N299" i="17"/>
  <c r="M299" i="17"/>
  <c r="L299" i="17"/>
  <c r="U298" i="17"/>
  <c r="V298" i="17" s="1"/>
  <c r="T298" i="17"/>
  <c r="S298" i="17"/>
  <c r="M298" i="17"/>
  <c r="N298" i="17" s="1"/>
  <c r="L298" i="17"/>
  <c r="U297" i="17"/>
  <c r="V297" i="17" s="1"/>
  <c r="N297" i="17"/>
  <c r="U296" i="17"/>
  <c r="L296" i="17"/>
  <c r="N296" i="17" s="1"/>
  <c r="U295" i="17"/>
  <c r="N295" i="17"/>
  <c r="V294" i="17"/>
  <c r="U294" i="17"/>
  <c r="N294" i="17"/>
  <c r="U293" i="17"/>
  <c r="S293" i="17"/>
  <c r="M293" i="17"/>
  <c r="L293" i="17"/>
  <c r="N293" i="17" s="1"/>
  <c r="V293" i="17" s="1"/>
  <c r="U292" i="17"/>
  <c r="N292" i="17"/>
  <c r="V291" i="17"/>
  <c r="U291" i="17"/>
  <c r="N291" i="17"/>
  <c r="V290" i="17"/>
  <c r="U290" i="17"/>
  <c r="N290" i="17"/>
  <c r="U289" i="17"/>
  <c r="N289" i="17"/>
  <c r="U288" i="17"/>
  <c r="N288" i="17"/>
  <c r="V287" i="17"/>
  <c r="U287" i="17"/>
  <c r="N287" i="17"/>
  <c r="V286" i="17"/>
  <c r="U286" i="17"/>
  <c r="N286" i="17"/>
  <c r="U285" i="17"/>
  <c r="N285" i="17"/>
  <c r="U284" i="17"/>
  <c r="N284" i="17"/>
  <c r="U283" i="17"/>
  <c r="M283" i="17"/>
  <c r="L283" i="17"/>
  <c r="N283" i="17" s="1"/>
  <c r="V283" i="17" s="1"/>
  <c r="U282" i="17"/>
  <c r="N282" i="17"/>
  <c r="M282" i="17"/>
  <c r="L282" i="17"/>
  <c r="U281" i="17"/>
  <c r="N281" i="17"/>
  <c r="U280" i="17"/>
  <c r="N280" i="17"/>
  <c r="V279" i="17"/>
  <c r="U279" i="17"/>
  <c r="N279" i="17"/>
  <c r="V278" i="17"/>
  <c r="U278" i="17"/>
  <c r="N278" i="17"/>
  <c r="U277" i="17"/>
  <c r="N277" i="17"/>
  <c r="T276" i="17"/>
  <c r="U276" i="17" s="1"/>
  <c r="N276" i="17"/>
  <c r="M276" i="17"/>
  <c r="L276" i="17"/>
  <c r="U275" i="17"/>
  <c r="V275" i="17" s="1"/>
  <c r="N275" i="17"/>
  <c r="U274" i="17"/>
  <c r="V274" i="17" s="1"/>
  <c r="N274" i="17"/>
  <c r="U273" i="17"/>
  <c r="V273" i="17" s="1"/>
  <c r="N273" i="17"/>
  <c r="V272" i="17"/>
  <c r="U272" i="17"/>
  <c r="N272" i="17"/>
  <c r="U271" i="17"/>
  <c r="V271" i="17" s="1"/>
  <c r="N271" i="17"/>
  <c r="U270" i="17"/>
  <c r="V270" i="17" s="1"/>
  <c r="N270" i="17"/>
  <c r="U269" i="17"/>
  <c r="V269" i="17" s="1"/>
  <c r="N269" i="17"/>
  <c r="V268" i="17"/>
  <c r="U268" i="17"/>
  <c r="N268" i="17"/>
  <c r="U267" i="17"/>
  <c r="V267" i="17" s="1"/>
  <c r="N267" i="17"/>
  <c r="U266" i="17"/>
  <c r="V266" i="17" s="1"/>
  <c r="N266" i="17"/>
  <c r="T265" i="17"/>
  <c r="T264" i="17" s="1"/>
  <c r="T255" i="17" s="1"/>
  <c r="T254" i="17" s="1"/>
  <c r="T253" i="17" s="1"/>
  <c r="S265" i="17"/>
  <c r="M265" i="17"/>
  <c r="L265" i="17"/>
  <c r="R264" i="17"/>
  <c r="Q264" i="17"/>
  <c r="P264" i="17"/>
  <c r="O264" i="17"/>
  <c r="O255" i="17" s="1"/>
  <c r="O254" i="17" s="1"/>
  <c r="O253" i="17" s="1"/>
  <c r="K264" i="17"/>
  <c r="J264" i="17"/>
  <c r="I264" i="17"/>
  <c r="H264" i="17"/>
  <c r="G264" i="17"/>
  <c r="R255" i="17"/>
  <c r="Q255" i="17"/>
  <c r="P255" i="17"/>
  <c r="M255" i="17"/>
  <c r="M254" i="17" s="1"/>
  <c r="M253" i="17" s="1"/>
  <c r="K255" i="17"/>
  <c r="J255" i="17"/>
  <c r="J254" i="17" s="1"/>
  <c r="J253" i="17" s="1"/>
  <c r="I255" i="17"/>
  <c r="H255" i="17"/>
  <c r="G255" i="17"/>
  <c r="R254" i="17"/>
  <c r="Q254" i="17"/>
  <c r="I254" i="17"/>
  <c r="R253" i="17"/>
  <c r="Q253" i="17"/>
  <c r="I253" i="17"/>
  <c r="V242" i="17"/>
  <c r="V241" i="17" s="1"/>
  <c r="V235" i="17" s="1"/>
  <c r="U241" i="17"/>
  <c r="R241" i="17"/>
  <c r="Q241" i="17"/>
  <c r="P241" i="17"/>
  <c r="O241" i="17"/>
  <c r="N241" i="17"/>
  <c r="K241" i="17"/>
  <c r="J241" i="17"/>
  <c r="I241" i="17"/>
  <c r="H241" i="17"/>
  <c r="G241" i="17"/>
  <c r="U235" i="17"/>
  <c r="R235" i="17"/>
  <c r="Q235" i="17"/>
  <c r="P235" i="17"/>
  <c r="O235" i="17"/>
  <c r="N235" i="17"/>
  <c r="K235" i="17"/>
  <c r="J235" i="17"/>
  <c r="I235" i="17"/>
  <c r="H235" i="17"/>
  <c r="G235" i="17"/>
  <c r="V224" i="17"/>
  <c r="V223" i="17"/>
  <c r="V222" i="17"/>
  <c r="V221" i="17"/>
  <c r="V220" i="17"/>
  <c r="G220" i="17"/>
  <c r="U219" i="17"/>
  <c r="R219" i="17"/>
  <c r="R218" i="17" s="1"/>
  <c r="Q219" i="17"/>
  <c r="P219" i="17"/>
  <c r="O219" i="17"/>
  <c r="N219" i="17"/>
  <c r="N218" i="17" s="1"/>
  <c r="K219" i="17"/>
  <c r="J219" i="17"/>
  <c r="I219" i="17"/>
  <c r="H219" i="17"/>
  <c r="H218" i="17" s="1"/>
  <c r="G219" i="17"/>
  <c r="U218" i="17"/>
  <c r="Q218" i="17"/>
  <c r="P218" i="17"/>
  <c r="O218" i="17"/>
  <c r="K218" i="17"/>
  <c r="J218" i="17"/>
  <c r="I218" i="17"/>
  <c r="G218" i="17"/>
  <c r="N215" i="17"/>
  <c r="V214" i="17"/>
  <c r="V213" i="17"/>
  <c r="V212" i="17"/>
  <c r="V211" i="17"/>
  <c r="V210" i="17"/>
  <c r="V209" i="17"/>
  <c r="V208" i="17"/>
  <c r="V207" i="17"/>
  <c r="V206" i="17"/>
  <c r="V205" i="17"/>
  <c r="V204" i="17"/>
  <c r="V203" i="17"/>
  <c r="V202" i="17"/>
  <c r="V201" i="17"/>
  <c r="V200" i="17"/>
  <c r="V199" i="17"/>
  <c r="V198" i="17"/>
  <c r="V197" i="17"/>
  <c r="V196" i="17"/>
  <c r="V195" i="17"/>
  <c r="V194" i="17"/>
  <c r="V193" i="17"/>
  <c r="V192" i="17"/>
  <c r="V191" i="17"/>
  <c r="V190" i="17"/>
  <c r="V189" i="17"/>
  <c r="V188" i="17"/>
  <c r="V187" i="17"/>
  <c r="V186" i="17"/>
  <c r="V185" i="17"/>
  <c r="V184" i="17"/>
  <c r="V183" i="17"/>
  <c r="V182" i="17"/>
  <c r="V181" i="17"/>
  <c r="V180" i="17"/>
  <c r="V179" i="17"/>
  <c r="V178" i="17"/>
  <c r="V177" i="17"/>
  <c r="V176" i="17"/>
  <c r="V175" i="17"/>
  <c r="V174" i="17"/>
  <c r="V173" i="17"/>
  <c r="V172" i="17"/>
  <c r="V171" i="17"/>
  <c r="V170" i="17"/>
  <c r="V169" i="17"/>
  <c r="V168" i="17"/>
  <c r="V167" i="17"/>
  <c r="V166" i="17"/>
  <c r="V165" i="17"/>
  <c r="V164" i="17"/>
  <c r="V163" i="17"/>
  <c r="V162" i="17"/>
  <c r="V161" i="17"/>
  <c r="V160" i="17"/>
  <c r="V159" i="17"/>
  <c r="U158" i="17"/>
  <c r="R158" i="17"/>
  <c r="Q158" i="17"/>
  <c r="P158" i="17"/>
  <c r="P118" i="17" s="1"/>
  <c r="O158" i="17"/>
  <c r="L158" i="17"/>
  <c r="K158" i="17"/>
  <c r="J158" i="17"/>
  <c r="I158" i="17"/>
  <c r="H158" i="17"/>
  <c r="G158" i="17"/>
  <c r="N156" i="17"/>
  <c r="V156" i="17" s="1"/>
  <c r="N155" i="17"/>
  <c r="V155" i="17" s="1"/>
  <c r="V147" i="17" s="1"/>
  <c r="V154" i="17"/>
  <c r="V153" i="17"/>
  <c r="V152" i="17"/>
  <c r="V151" i="17"/>
  <c r="V150" i="17"/>
  <c r="V149" i="17"/>
  <c r="V148" i="17"/>
  <c r="U147" i="17"/>
  <c r="S147" i="17"/>
  <c r="R147" i="17"/>
  <c r="Q147" i="17"/>
  <c r="Q118" i="17" s="1"/>
  <c r="P147" i="17"/>
  <c r="O147" i="17"/>
  <c r="L147" i="17"/>
  <c r="L118" i="17" s="1"/>
  <c r="K147" i="17"/>
  <c r="J147" i="17"/>
  <c r="I147" i="17"/>
  <c r="H147" i="17"/>
  <c r="G147" i="17"/>
  <c r="V145" i="17"/>
  <c r="V144" i="17"/>
  <c r="V143" i="17"/>
  <c r="V142" i="17"/>
  <c r="G141" i="17"/>
  <c r="V139" i="17"/>
  <c r="V138" i="17"/>
  <c r="V137" i="17"/>
  <c r="V136" i="17"/>
  <c r="V135" i="17"/>
  <c r="V134" i="17"/>
  <c r="V133" i="17"/>
  <c r="V132" i="17"/>
  <c r="V131" i="17"/>
  <c r="V130" i="17"/>
  <c r="V129" i="17"/>
  <c r="V128" i="17"/>
  <c r="V127" i="17"/>
  <c r="V126" i="17"/>
  <c r="V125" i="17"/>
  <c r="V124" i="17"/>
  <c r="V123" i="17"/>
  <c r="V122" i="17"/>
  <c r="V121" i="17"/>
  <c r="V120" i="17"/>
  <c r="U119" i="17"/>
  <c r="U118" i="17" s="1"/>
  <c r="R119" i="17"/>
  <c r="Q119" i="17"/>
  <c r="P119" i="17"/>
  <c r="O119" i="17"/>
  <c r="O118" i="17" s="1"/>
  <c r="N119" i="17"/>
  <c r="K119" i="17"/>
  <c r="J119" i="17"/>
  <c r="I119" i="17"/>
  <c r="I118" i="17" s="1"/>
  <c r="H119" i="17"/>
  <c r="G119" i="17"/>
  <c r="S118" i="17"/>
  <c r="K118" i="17"/>
  <c r="J118" i="17"/>
  <c r="V113" i="17"/>
  <c r="U113" i="17"/>
  <c r="R113" i="17"/>
  <c r="Q113" i="17"/>
  <c r="Q112" i="17" s="1"/>
  <c r="Q111" i="17" s="1"/>
  <c r="Q108" i="17" s="1"/>
  <c r="P113" i="17"/>
  <c r="O113" i="17"/>
  <c r="N113" i="17"/>
  <c r="K113" i="17"/>
  <c r="K112" i="17" s="1"/>
  <c r="K111" i="17" s="1"/>
  <c r="K108" i="17" s="1"/>
  <c r="J113" i="17"/>
  <c r="J112" i="17" s="1"/>
  <c r="J111" i="17" s="1"/>
  <c r="J108" i="17" s="1"/>
  <c r="J96" i="17" s="1"/>
  <c r="I113" i="17"/>
  <c r="H113" i="17"/>
  <c r="U112" i="17"/>
  <c r="V112" i="17" s="1"/>
  <c r="V111" i="17" s="1"/>
  <c r="V108" i="17" s="1"/>
  <c r="R112" i="17"/>
  <c r="P112" i="17"/>
  <c r="P111" i="17" s="1"/>
  <c r="P108" i="17" s="1"/>
  <c r="O112" i="17"/>
  <c r="N112" i="17"/>
  <c r="I112" i="17"/>
  <c r="I111" i="17" s="1"/>
  <c r="I108" i="17" s="1"/>
  <c r="H112" i="17"/>
  <c r="U111" i="17"/>
  <c r="U108" i="17" s="1"/>
  <c r="R111" i="17"/>
  <c r="O111" i="17"/>
  <c r="O108" i="17" s="1"/>
  <c r="O96" i="17" s="1"/>
  <c r="N111" i="17"/>
  <c r="H111" i="17"/>
  <c r="G111" i="17"/>
  <c r="R108" i="17"/>
  <c r="N108" i="17"/>
  <c r="H108" i="17"/>
  <c r="G108" i="17"/>
  <c r="U96" i="17"/>
  <c r="I96" i="17"/>
  <c r="U74" i="17"/>
  <c r="U73" i="17" s="1"/>
  <c r="T74" i="17"/>
  <c r="S74" i="17"/>
  <c r="M74" i="17"/>
  <c r="L74" i="17"/>
  <c r="T73" i="17"/>
  <c r="S73" i="17"/>
  <c r="R73" i="17"/>
  <c r="Q73" i="17"/>
  <c r="P73" i="17"/>
  <c r="O73" i="17"/>
  <c r="K73" i="17"/>
  <c r="J73" i="17"/>
  <c r="I73" i="17"/>
  <c r="H73" i="17"/>
  <c r="G73" i="17"/>
  <c r="V69" i="17"/>
  <c r="U69" i="17"/>
  <c r="N69" i="17"/>
  <c r="U68" i="17"/>
  <c r="V68" i="17" s="1"/>
  <c r="N68" i="17"/>
  <c r="U67" i="17"/>
  <c r="N67" i="17"/>
  <c r="U66" i="17"/>
  <c r="N66" i="17"/>
  <c r="V66" i="17" s="1"/>
  <c r="V65" i="17"/>
  <c r="U65" i="17"/>
  <c r="S65" i="17"/>
  <c r="N65" i="17"/>
  <c r="V64" i="17"/>
  <c r="T64" i="17"/>
  <c r="S64" i="17"/>
  <c r="U64" i="17" s="1"/>
  <c r="N64" i="17"/>
  <c r="M64" i="17"/>
  <c r="L64" i="17"/>
  <c r="V63" i="17"/>
  <c r="U63" i="17"/>
  <c r="N63" i="17"/>
  <c r="T62" i="17"/>
  <c r="U62" i="17" s="1"/>
  <c r="S62" i="17"/>
  <c r="M62" i="17"/>
  <c r="L62" i="17"/>
  <c r="T61" i="17"/>
  <c r="S61" i="17"/>
  <c r="U61" i="17" s="1"/>
  <c r="M61" i="17"/>
  <c r="L61" i="17"/>
  <c r="N61" i="17" s="1"/>
  <c r="U60" i="17"/>
  <c r="V60" i="17" s="1"/>
  <c r="N60" i="17"/>
  <c r="V59" i="17"/>
  <c r="U59" i="17"/>
  <c r="N59" i="17"/>
  <c r="U58" i="17"/>
  <c r="N58" i="17"/>
  <c r="U57" i="17"/>
  <c r="N57" i="17"/>
  <c r="V57" i="17" s="1"/>
  <c r="U56" i="17"/>
  <c r="V56" i="17" s="1"/>
  <c r="N56" i="17"/>
  <c r="V55" i="17"/>
  <c r="U55" i="17"/>
  <c r="N55" i="17"/>
  <c r="U54" i="17"/>
  <c r="N54" i="17"/>
  <c r="U53" i="17"/>
  <c r="N53" i="17"/>
  <c r="V53" i="17" s="1"/>
  <c r="U52" i="17"/>
  <c r="V52" i="17" s="1"/>
  <c r="N52" i="17"/>
  <c r="V51" i="17"/>
  <c r="U51" i="17"/>
  <c r="N51" i="17"/>
  <c r="U50" i="17"/>
  <c r="N50" i="17"/>
  <c r="V50" i="17" s="1"/>
  <c r="U49" i="17"/>
  <c r="N49" i="17"/>
  <c r="V49" i="17" s="1"/>
  <c r="U48" i="17"/>
  <c r="S48" i="17"/>
  <c r="N48" i="17"/>
  <c r="V48" i="17" s="1"/>
  <c r="U47" i="17"/>
  <c r="V47" i="17" s="1"/>
  <c r="N47" i="17"/>
  <c r="T46" i="17"/>
  <c r="S46" i="17"/>
  <c r="M46" i="17"/>
  <c r="L46" i="17"/>
  <c r="N46" i="17" s="1"/>
  <c r="S45" i="17"/>
  <c r="R45" i="17"/>
  <c r="Q45" i="17"/>
  <c r="Q42" i="17" s="1"/>
  <c r="Q4" i="17" s="1"/>
  <c r="P45" i="17"/>
  <c r="O45" i="17"/>
  <c r="M45" i="17"/>
  <c r="M42" i="17" s="1"/>
  <c r="K45" i="17"/>
  <c r="J45" i="17"/>
  <c r="J42" i="17" s="1"/>
  <c r="I45" i="17"/>
  <c r="H45" i="17"/>
  <c r="H42" i="17" s="1"/>
  <c r="G45" i="17"/>
  <c r="R42" i="17"/>
  <c r="P42" i="17"/>
  <c r="K42" i="17"/>
  <c r="K4" i="17" s="1"/>
  <c r="I42" i="17"/>
  <c r="I4" i="17" s="1"/>
  <c r="G42" i="17"/>
  <c r="G4" i="17" s="1"/>
  <c r="U36" i="17"/>
  <c r="T36" i="17"/>
  <c r="S36" i="17"/>
  <c r="M36" i="17"/>
  <c r="L36" i="17"/>
  <c r="N36" i="17" s="1"/>
  <c r="V36" i="17" s="1"/>
  <c r="T35" i="17"/>
  <c r="S35" i="17"/>
  <c r="U35" i="17" s="1"/>
  <c r="N35" i="17"/>
  <c r="V35" i="17" s="1"/>
  <c r="M35" i="17"/>
  <c r="L35" i="17"/>
  <c r="U34" i="17"/>
  <c r="T34" i="17"/>
  <c r="S34" i="17"/>
  <c r="M34" i="17"/>
  <c r="N34" i="17" s="1"/>
  <c r="L34" i="17"/>
  <c r="V33" i="17"/>
  <c r="U33" i="17"/>
  <c r="N33" i="17"/>
  <c r="U32" i="17"/>
  <c r="T32" i="17"/>
  <c r="S32" i="17"/>
  <c r="M32" i="17"/>
  <c r="L32" i="17"/>
  <c r="N32" i="17" s="1"/>
  <c r="V32" i="17" s="1"/>
  <c r="V31" i="17"/>
  <c r="T31" i="17"/>
  <c r="S31" i="17"/>
  <c r="U31" i="17" s="1"/>
  <c r="N31" i="17"/>
  <c r="M31" i="17"/>
  <c r="L31" i="17"/>
  <c r="T30" i="17"/>
  <c r="S30" i="17"/>
  <c r="U30" i="17" s="1"/>
  <c r="M30" i="17"/>
  <c r="N30" i="17" s="1"/>
  <c r="L30" i="17"/>
  <c r="S29" i="17"/>
  <c r="U29" i="17" s="1"/>
  <c r="V29" i="17" s="1"/>
  <c r="L29" i="17"/>
  <c r="N29" i="17" s="1"/>
  <c r="T28" i="17"/>
  <c r="S28" i="17"/>
  <c r="U28" i="17" s="1"/>
  <c r="M28" i="17"/>
  <c r="L28" i="17"/>
  <c r="V27" i="17"/>
  <c r="U27" i="17"/>
  <c r="N27" i="17"/>
  <c r="U26" i="17"/>
  <c r="S26" i="17"/>
  <c r="N26" i="17"/>
  <c r="V26" i="17" s="1"/>
  <c r="M26" i="17"/>
  <c r="L26" i="17"/>
  <c r="U25" i="17"/>
  <c r="N25" i="17"/>
  <c r="V25" i="17" s="1"/>
  <c r="U24" i="17"/>
  <c r="N24" i="17"/>
  <c r="V24" i="17" s="1"/>
  <c r="U23" i="17"/>
  <c r="N23" i="17"/>
  <c r="U22" i="17"/>
  <c r="N22" i="17"/>
  <c r="V22" i="17" s="1"/>
  <c r="U21" i="17"/>
  <c r="N21" i="17"/>
  <c r="V20" i="17"/>
  <c r="U20" i="17"/>
  <c r="N20" i="17"/>
  <c r="U19" i="17"/>
  <c r="N19" i="17"/>
  <c r="V19" i="17" s="1"/>
  <c r="V18" i="17"/>
  <c r="U18" i="17"/>
  <c r="N18" i="17"/>
  <c r="U17" i="17"/>
  <c r="N17" i="17"/>
  <c r="V17" i="17" s="1"/>
  <c r="U16" i="17"/>
  <c r="N16" i="17"/>
  <c r="V16" i="17" s="1"/>
  <c r="U15" i="17"/>
  <c r="T15" i="17"/>
  <c r="S15" i="17"/>
  <c r="N15" i="17"/>
  <c r="V14" i="17"/>
  <c r="U14" i="17"/>
  <c r="N14" i="17"/>
  <c r="U13" i="17"/>
  <c r="V13" i="17" s="1"/>
  <c r="N13" i="17"/>
  <c r="U12" i="17"/>
  <c r="N12" i="17"/>
  <c r="V12" i="17" s="1"/>
  <c r="U11" i="17"/>
  <c r="T11" i="17"/>
  <c r="M11" i="17"/>
  <c r="L11" i="17"/>
  <c r="L7" i="17" s="1"/>
  <c r="L5" i="17" s="1"/>
  <c r="L4" i="17" s="1"/>
  <c r="L3" i="17" s="1"/>
  <c r="U10" i="17"/>
  <c r="V10" i="17" s="1"/>
  <c r="N10" i="17"/>
  <c r="V9" i="17"/>
  <c r="U9" i="17"/>
  <c r="N9" i="17"/>
  <c r="U8" i="17"/>
  <c r="N8" i="17"/>
  <c r="V8" i="17" s="1"/>
  <c r="T7" i="17"/>
  <c r="R7" i="17"/>
  <c r="Q7" i="17"/>
  <c r="P7" i="17"/>
  <c r="P5" i="17" s="1"/>
  <c r="P4" i="17" s="1"/>
  <c r="O7" i="17"/>
  <c r="K7" i="17"/>
  <c r="J7" i="17"/>
  <c r="I7" i="17"/>
  <c r="H7" i="17"/>
  <c r="G7" i="17"/>
  <c r="T5" i="17"/>
  <c r="R5" i="17"/>
  <c r="Q5" i="17"/>
  <c r="O5" i="17"/>
  <c r="K5" i="17"/>
  <c r="J5" i="17"/>
  <c r="I5" i="17"/>
  <c r="H5" i="17"/>
  <c r="H4" i="17" s="1"/>
  <c r="G5" i="17"/>
  <c r="T4" i="17"/>
  <c r="T3" i="17" s="1"/>
  <c r="R4" i="17"/>
  <c r="J4" i="17"/>
  <c r="J3" i="17"/>
  <c r="U46" i="17" l="1"/>
  <c r="U45" i="17" s="1"/>
  <c r="U42" i="17" s="1"/>
  <c r="T45" i="17"/>
  <c r="V577" i="17"/>
  <c r="U7" i="17"/>
  <c r="U5" i="17" s="1"/>
  <c r="N11" i="17"/>
  <c r="S7" i="17"/>
  <c r="S5" i="17" s="1"/>
  <c r="S4" i="17" s="1"/>
  <c r="S3" i="17" s="1"/>
  <c r="V21" i="17"/>
  <c r="V34" i="17"/>
  <c r="I3" i="17"/>
  <c r="O42" i="17"/>
  <c r="O4" i="17" s="1"/>
  <c r="O3" i="17" s="1"/>
  <c r="V54" i="17"/>
  <c r="V61" i="17"/>
  <c r="V15" i="17"/>
  <c r="V23" i="17"/>
  <c r="N28" i="17"/>
  <c r="V28" i="17" s="1"/>
  <c r="M7" i="17"/>
  <c r="M5" i="17" s="1"/>
  <c r="M4" i="17" s="1"/>
  <c r="M3" i="17" s="1"/>
  <c r="V30" i="17"/>
  <c r="K3" i="17"/>
  <c r="V58" i="17"/>
  <c r="P96" i="17"/>
  <c r="P3" i="17" s="1"/>
  <c r="V296" i="17"/>
  <c r="K368" i="17"/>
  <c r="V538" i="17"/>
  <c r="N536" i="17"/>
  <c r="V549" i="17"/>
  <c r="N547" i="17"/>
  <c r="V119" i="17"/>
  <c r="N147" i="17"/>
  <c r="N118" i="17" s="1"/>
  <c r="N96" i="17" s="1"/>
  <c r="N265" i="17"/>
  <c r="N264" i="17" s="1"/>
  <c r="N255" i="17" s="1"/>
  <c r="N254" i="17" s="1"/>
  <c r="N253" i="17" s="1"/>
  <c r="L264" i="17"/>
  <c r="L255" i="17" s="1"/>
  <c r="L254" i="17" s="1"/>
  <c r="L253" i="17" s="1"/>
  <c r="V276" i="17"/>
  <c r="V281" i="17"/>
  <c r="V282" i="17"/>
  <c r="V285" i="17"/>
  <c r="V288" i="17"/>
  <c r="V295" i="17"/>
  <c r="U327" i="17"/>
  <c r="V327" i="17" s="1"/>
  <c r="V540" i="17"/>
  <c r="V539" i="17" s="1"/>
  <c r="N539" i="17"/>
  <c r="V541" i="17"/>
  <c r="V564" i="17"/>
  <c r="V563" i="17" s="1"/>
  <c r="N563" i="17"/>
  <c r="G563" i="17"/>
  <c r="G552" i="17" s="1"/>
  <c r="G504" i="17" s="1"/>
  <c r="G503" i="17" s="1"/>
  <c r="N593" i="17"/>
  <c r="V595" i="17"/>
  <c r="V593" i="17" s="1"/>
  <c r="N74" i="17"/>
  <c r="L73" i="17"/>
  <c r="G140" i="17"/>
  <c r="G118" i="17" s="1"/>
  <c r="G96" i="17" s="1"/>
  <c r="G3" i="17" s="1"/>
  <c r="V141" i="17"/>
  <c r="V140" i="17" s="1"/>
  <c r="V300" i="17"/>
  <c r="V322" i="17"/>
  <c r="V321" i="17" s="1"/>
  <c r="V316" i="17" s="1"/>
  <c r="U321" i="17"/>
  <c r="U316" i="17" s="1"/>
  <c r="N515" i="17"/>
  <c r="M514" i="17"/>
  <c r="M505" i="17" s="1"/>
  <c r="M553" i="17"/>
  <c r="M552" i="17" s="1"/>
  <c r="N556" i="17"/>
  <c r="N62" i="17"/>
  <c r="V62" i="17" s="1"/>
  <c r="V67" i="17"/>
  <c r="K96" i="17"/>
  <c r="Q96" i="17"/>
  <c r="Q3" i="17" s="1"/>
  <c r="H118" i="17"/>
  <c r="H96" i="17" s="1"/>
  <c r="H3" i="17" s="1"/>
  <c r="R118" i="17"/>
  <c r="R96" i="17" s="1"/>
  <c r="R3" i="17" s="1"/>
  <c r="V215" i="17"/>
  <c r="V158" i="17" s="1"/>
  <c r="N158" i="17"/>
  <c r="V219" i="17"/>
  <c r="V218" i="17" s="1"/>
  <c r="S264" i="17"/>
  <c r="S255" i="17" s="1"/>
  <c r="S254" i="17" s="1"/>
  <c r="S253" i="17" s="1"/>
  <c r="U265" i="17"/>
  <c r="V277" i="17"/>
  <c r="V280" i="17"/>
  <c r="V284" i="17"/>
  <c r="V289" i="17"/>
  <c r="V292" i="17"/>
  <c r="Q368" i="17"/>
  <c r="O409" i="17"/>
  <c r="O408" i="17" s="1"/>
  <c r="K504" i="17"/>
  <c r="K503" i="17" s="1"/>
  <c r="P505" i="17"/>
  <c r="P504" i="17" s="1"/>
  <c r="P503" i="17" s="1"/>
  <c r="I409" i="17"/>
  <c r="I408" i="17" s="1"/>
  <c r="S409" i="17"/>
  <c r="S408" i="17" s="1"/>
  <c r="G432" i="17"/>
  <c r="G427" i="17" s="1"/>
  <c r="G409" i="17" s="1"/>
  <c r="G408" i="17" s="1"/>
  <c r="V436" i="17"/>
  <c r="V432" i="17" s="1"/>
  <c r="V427" i="17" s="1"/>
  <c r="V409" i="17" s="1"/>
  <c r="U432" i="17"/>
  <c r="U427" i="17" s="1"/>
  <c r="U409" i="17" s="1"/>
  <c r="U459" i="17"/>
  <c r="U450" i="17" s="1"/>
  <c r="V460" i="17"/>
  <c r="V459" i="17" s="1"/>
  <c r="V450" i="17" s="1"/>
  <c r="H505" i="17"/>
  <c r="H504" i="17" s="1"/>
  <c r="H503" i="17" s="1"/>
  <c r="I504" i="17"/>
  <c r="I503" i="17" s="1"/>
  <c r="G520" i="17"/>
  <c r="V529" i="17"/>
  <c r="V528" i="17" s="1"/>
  <c r="N528" i="17"/>
  <c r="V543" i="17"/>
  <c r="N541" i="17"/>
  <c r="O552" i="17"/>
  <c r="U552" i="17"/>
  <c r="V586" i="17"/>
  <c r="N405" i="17"/>
  <c r="N403" i="17" s="1"/>
  <c r="N368" i="17" s="1"/>
  <c r="V406" i="17"/>
  <c r="V405" i="17" s="1"/>
  <c r="V403" i="17" s="1"/>
  <c r="K409" i="17"/>
  <c r="K408" i="17" s="1"/>
  <c r="Q409" i="17"/>
  <c r="Q408" i="17" s="1"/>
  <c r="U445" i="17"/>
  <c r="U441" i="17" s="1"/>
  <c r="V447" i="17"/>
  <c r="V445" i="17" s="1"/>
  <c r="V441" i="17" s="1"/>
  <c r="U472" i="17"/>
  <c r="T471" i="17"/>
  <c r="T408" i="17" s="1"/>
  <c r="N510" i="17"/>
  <c r="Q520" i="17"/>
  <c r="Q504" i="17" s="1"/>
  <c r="Q503" i="17" s="1"/>
  <c r="N522" i="17"/>
  <c r="M521" i="17"/>
  <c r="M520" i="17" s="1"/>
  <c r="O520" i="17"/>
  <c r="O504" i="17" s="1"/>
  <c r="O503" i="17" s="1"/>
  <c r="U520" i="17"/>
  <c r="U504" i="17" s="1"/>
  <c r="U503" i="17" s="1"/>
  <c r="V532" i="17"/>
  <c r="V536" i="17"/>
  <c r="V546" i="17"/>
  <c r="V545" i="17" s="1"/>
  <c r="N545" i="17"/>
  <c r="V547" i="17"/>
  <c r="J552" i="17"/>
  <c r="J504" i="17" s="1"/>
  <c r="J503" i="17" s="1"/>
  <c r="V572" i="17"/>
  <c r="N577" i="17"/>
  <c r="V580" i="17"/>
  <c r="N586" i="17"/>
  <c r="V694" i="17"/>
  <c r="V686" i="17" s="1"/>
  <c r="V664" i="17" s="1"/>
  <c r="V562" i="17"/>
  <c r="V561" i="17" s="1"/>
  <c r="N599" i="17"/>
  <c r="V556" i="17" l="1"/>
  <c r="V553" i="17" s="1"/>
  <c r="V552" i="17" s="1"/>
  <c r="N553" i="17"/>
  <c r="N552" i="17" s="1"/>
  <c r="V522" i="17"/>
  <c r="V521" i="17" s="1"/>
  <c r="V520" i="17" s="1"/>
  <c r="N521" i="17"/>
  <c r="N520" i="17" s="1"/>
  <c r="U408" i="17"/>
  <c r="M504" i="17"/>
  <c r="M503" i="17" s="1"/>
  <c r="U4" i="17"/>
  <c r="U3" i="17" s="1"/>
  <c r="V118" i="17"/>
  <c r="V96" i="17" s="1"/>
  <c r="V46" i="17"/>
  <c r="V45" i="17" s="1"/>
  <c r="V42" i="17" s="1"/>
  <c r="V472" i="17"/>
  <c r="V471" i="17" s="1"/>
  <c r="V408" i="17" s="1"/>
  <c r="U471" i="17"/>
  <c r="V265" i="17"/>
  <c r="V264" i="17" s="1"/>
  <c r="V255" i="17" s="1"/>
  <c r="V254" i="17" s="1"/>
  <c r="V253" i="17" s="1"/>
  <c r="U264" i="17"/>
  <c r="U255" i="17" s="1"/>
  <c r="U254" i="17" s="1"/>
  <c r="U253" i="17" s="1"/>
  <c r="V515" i="17"/>
  <c r="V514" i="17" s="1"/>
  <c r="V505" i="17" s="1"/>
  <c r="N514" i="17"/>
  <c r="N505" i="17" s="1"/>
  <c r="N504" i="17" s="1"/>
  <c r="N503" i="17" s="1"/>
  <c r="N73" i="17"/>
  <c r="V74" i="17"/>
  <c r="V73" i="17" s="1"/>
  <c r="V11" i="17"/>
  <c r="V7" i="17" s="1"/>
  <c r="V5" i="17" s="1"/>
  <c r="N7" i="17"/>
  <c r="N5" i="17" s="1"/>
  <c r="N45" i="17"/>
  <c r="N42" i="17" s="1"/>
  <c r="V4" i="17" l="1"/>
  <c r="V3" i="17" s="1"/>
  <c r="V504" i="17"/>
  <c r="V503" i="17" s="1"/>
  <c r="V374" i="17" s="1"/>
  <c r="V373" i="17" s="1"/>
  <c r="V368" i="17" s="1"/>
  <c r="N4" i="17"/>
  <c r="N3" i="17" s="1"/>
  <c r="E10" i="49" l="1"/>
  <c r="H10" i="49" s="1"/>
  <c r="H9" i="49" s="1"/>
  <c r="G9" i="49"/>
  <c r="F9" i="49"/>
  <c r="E9" i="49"/>
  <c r="D9" i="49"/>
  <c r="C9" i="49"/>
  <c r="F26" i="48"/>
  <c r="I26" i="48" s="1"/>
  <c r="F25" i="48"/>
  <c r="I25" i="48" s="1"/>
  <c r="F24" i="48"/>
  <c r="I24" i="48" s="1"/>
  <c r="F23" i="48"/>
  <c r="I23" i="48" s="1"/>
  <c r="F22" i="48"/>
  <c r="I22" i="48" s="1"/>
  <c r="H21" i="48"/>
  <c r="H10" i="48" s="1"/>
  <c r="G21" i="48"/>
  <c r="E21" i="48"/>
  <c r="E10" i="48" s="1"/>
  <c r="D21" i="48"/>
  <c r="D10" i="48" s="1"/>
  <c r="F19" i="48"/>
  <c r="I19" i="48" s="1"/>
  <c r="F18" i="48"/>
  <c r="I18" i="48" s="1"/>
  <c r="F17" i="48"/>
  <c r="I17" i="48" s="1"/>
  <c r="F16" i="48"/>
  <c r="I16" i="48" s="1"/>
  <c r="F15" i="48"/>
  <c r="I15" i="48" s="1"/>
  <c r="F14" i="48"/>
  <c r="I14" i="48" s="1"/>
  <c r="F13" i="48"/>
  <c r="I13" i="48" s="1"/>
  <c r="F12" i="48"/>
  <c r="I12" i="48" s="1"/>
  <c r="H11" i="48"/>
  <c r="G11" i="48"/>
  <c r="F11" i="48"/>
  <c r="I11" i="48" s="1"/>
  <c r="E11" i="47"/>
  <c r="H11" i="47" s="1"/>
  <c r="G9" i="47"/>
  <c r="F9" i="47"/>
  <c r="D9" i="47"/>
  <c r="C9" i="47"/>
  <c r="F54" i="46"/>
  <c r="F52" i="46"/>
  <c r="I51" i="46"/>
  <c r="F51" i="46"/>
  <c r="I50" i="46"/>
  <c r="F50" i="46"/>
  <c r="H48" i="46"/>
  <c r="G48" i="46"/>
  <c r="E48" i="46"/>
  <c r="D48" i="46"/>
  <c r="F48" i="46" s="1"/>
  <c r="I47" i="46"/>
  <c r="F47" i="46"/>
  <c r="I46" i="46"/>
  <c r="F46" i="46"/>
  <c r="I45" i="46"/>
  <c r="F45" i="46"/>
  <c r="I44" i="46"/>
  <c r="F44" i="46"/>
  <c r="I43" i="46"/>
  <c r="F43" i="46"/>
  <c r="I42" i="46"/>
  <c r="F42" i="46"/>
  <c r="I41" i="46"/>
  <c r="F41" i="46"/>
  <c r="I40" i="46"/>
  <c r="F40" i="46"/>
  <c r="I39" i="46"/>
  <c r="F39" i="46"/>
  <c r="H38" i="46"/>
  <c r="G38" i="46"/>
  <c r="E38" i="46"/>
  <c r="D38" i="46"/>
  <c r="F38" i="46" s="1"/>
  <c r="I38" i="46" s="1"/>
  <c r="I37" i="46"/>
  <c r="F37" i="46"/>
  <c r="I36" i="46"/>
  <c r="F36" i="46"/>
  <c r="I35" i="46"/>
  <c r="F35" i="46"/>
  <c r="I34" i="46"/>
  <c r="F34" i="46"/>
  <c r="I33" i="46"/>
  <c r="F33" i="46"/>
  <c r="I32" i="46"/>
  <c r="F32" i="46"/>
  <c r="F31" i="46"/>
  <c r="I31" i="46" s="1"/>
  <c r="I30" i="46"/>
  <c r="F30" i="46"/>
  <c r="I29" i="46"/>
  <c r="F29" i="46"/>
  <c r="H28" i="46"/>
  <c r="G28" i="46"/>
  <c r="E28" i="46"/>
  <c r="D28" i="46"/>
  <c r="I27" i="46"/>
  <c r="F27" i="46"/>
  <c r="I26" i="46"/>
  <c r="F26" i="46"/>
  <c r="I25" i="46"/>
  <c r="F25" i="46"/>
  <c r="I24" i="46"/>
  <c r="F24" i="46"/>
  <c r="I23" i="46"/>
  <c r="F23" i="46"/>
  <c r="F22" i="46"/>
  <c r="I22" i="46" s="1"/>
  <c r="I21" i="46"/>
  <c r="F21" i="46"/>
  <c r="F20" i="46"/>
  <c r="I20" i="46" s="1"/>
  <c r="I19" i="46"/>
  <c r="I18" i="46" s="1"/>
  <c r="F19" i="46"/>
  <c r="H18" i="46"/>
  <c r="G18" i="46"/>
  <c r="E18" i="46"/>
  <c r="D18" i="46"/>
  <c r="F18" i="46" s="1"/>
  <c r="I17" i="46"/>
  <c r="F17" i="46"/>
  <c r="F16" i="46"/>
  <c r="I16" i="46" s="1"/>
  <c r="I15" i="46"/>
  <c r="F15" i="46"/>
  <c r="H14" i="46"/>
  <c r="F14" i="46"/>
  <c r="I14" i="46" s="1"/>
  <c r="H13" i="46"/>
  <c r="F13" i="46"/>
  <c r="I13" i="46" s="1"/>
  <c r="I12" i="46"/>
  <c r="F12" i="46"/>
  <c r="H11" i="46"/>
  <c r="H10" i="46" s="1"/>
  <c r="F11" i="46"/>
  <c r="I11" i="46" s="1"/>
  <c r="G10" i="46"/>
  <c r="G9" i="46" s="1"/>
  <c r="E10" i="46"/>
  <c r="E9" i="46" s="1"/>
  <c r="D10" i="46"/>
  <c r="D9" i="46"/>
  <c r="E44" i="42"/>
  <c r="G37" i="42"/>
  <c r="G20" i="42"/>
  <c r="G18" i="42" s="1"/>
  <c r="I18" i="42"/>
  <c r="H18" i="42"/>
  <c r="F18" i="42"/>
  <c r="E18" i="42"/>
  <c r="G16" i="42"/>
  <c r="G15" i="42"/>
  <c r="G14" i="42"/>
  <c r="G10" i="48" l="1"/>
  <c r="H9" i="46"/>
  <c r="I48" i="46"/>
  <c r="E9" i="47"/>
  <c r="H9" i="47" s="1"/>
  <c r="F28" i="46"/>
  <c r="I28" i="46"/>
  <c r="F10" i="46"/>
  <c r="I10" i="46" s="1"/>
  <c r="G44" i="42"/>
  <c r="F21" i="48"/>
  <c r="I9" i="46" l="1"/>
  <c r="F9" i="46"/>
  <c r="I21" i="48"/>
  <c r="I10" i="48" s="1"/>
  <c r="F10" i="48"/>
  <c r="F21" i="47" l="1"/>
  <c r="D21" i="47"/>
  <c r="C21" i="47"/>
  <c r="E21" i="47" s="1"/>
  <c r="H21" i="47" s="1"/>
  <c r="J37" i="42" l="1"/>
  <c r="I68" i="36" l="1"/>
  <c r="H68" i="36"/>
  <c r="E31" i="49" l="1"/>
  <c r="H31" i="49" s="1"/>
  <c r="E30" i="49"/>
  <c r="H30" i="49" s="1"/>
  <c r="E29" i="49"/>
  <c r="H29" i="49" s="1"/>
  <c r="G28" i="49"/>
  <c r="F28" i="49"/>
  <c r="D28" i="49"/>
  <c r="C28" i="49"/>
  <c r="E28" i="49" s="1"/>
  <c r="E27" i="49"/>
  <c r="H27" i="49" s="1"/>
  <c r="E26" i="49"/>
  <c r="H26" i="49" s="1"/>
  <c r="E25" i="49"/>
  <c r="H25" i="49" s="1"/>
  <c r="G24" i="49"/>
  <c r="F24" i="49"/>
  <c r="D24" i="49"/>
  <c r="C24" i="49"/>
  <c r="E23" i="49"/>
  <c r="H23" i="49" s="1"/>
  <c r="E22" i="49"/>
  <c r="H22" i="49" s="1"/>
  <c r="D21" i="49"/>
  <c r="E19" i="49"/>
  <c r="H19" i="49" s="1"/>
  <c r="E18" i="49"/>
  <c r="H18" i="49" s="1"/>
  <c r="E17" i="49"/>
  <c r="H17" i="49" s="1"/>
  <c r="G16" i="49"/>
  <c r="F16" i="49"/>
  <c r="D16" i="49"/>
  <c r="C16" i="49"/>
  <c r="E15" i="49"/>
  <c r="H15" i="49" s="1"/>
  <c r="E14" i="49"/>
  <c r="H14" i="49" s="1"/>
  <c r="E13" i="49"/>
  <c r="H13" i="49" s="1"/>
  <c r="G12" i="49"/>
  <c r="F12" i="49"/>
  <c r="D12" i="49"/>
  <c r="C12" i="49"/>
  <c r="E12" i="49" s="1"/>
  <c r="E11" i="49"/>
  <c r="H11" i="49" s="1"/>
  <c r="F82" i="48"/>
  <c r="I82" i="48" s="1"/>
  <c r="F81" i="48"/>
  <c r="I81" i="48" s="1"/>
  <c r="F80" i="48"/>
  <c r="I80" i="48" s="1"/>
  <c r="F79" i="48"/>
  <c r="I79" i="48" s="1"/>
  <c r="H78" i="48"/>
  <c r="G78" i="48"/>
  <c r="E78" i="48"/>
  <c r="D78" i="48"/>
  <c r="F76" i="48"/>
  <c r="I76" i="48" s="1"/>
  <c r="F75" i="48"/>
  <c r="I75" i="48" s="1"/>
  <c r="F74" i="48"/>
  <c r="I74" i="48" s="1"/>
  <c r="F73" i="48"/>
  <c r="I73" i="48" s="1"/>
  <c r="F72" i="48"/>
  <c r="I72" i="48" s="1"/>
  <c r="F71" i="48"/>
  <c r="I71" i="48" s="1"/>
  <c r="F70" i="48"/>
  <c r="I70" i="48" s="1"/>
  <c r="F69" i="48"/>
  <c r="I69" i="48" s="1"/>
  <c r="F68" i="48"/>
  <c r="I68" i="48" s="1"/>
  <c r="H67" i="48"/>
  <c r="G67" i="48"/>
  <c r="E67" i="48"/>
  <c r="D67" i="48"/>
  <c r="F65" i="48"/>
  <c r="I65" i="48" s="1"/>
  <c r="F64" i="48"/>
  <c r="I64" i="48" s="1"/>
  <c r="F63" i="48"/>
  <c r="I63" i="48" s="1"/>
  <c r="F62" i="48"/>
  <c r="I62" i="48" s="1"/>
  <c r="F61" i="48"/>
  <c r="I61" i="48" s="1"/>
  <c r="F60" i="48"/>
  <c r="I60" i="48" s="1"/>
  <c r="F59" i="48"/>
  <c r="I59" i="48" s="1"/>
  <c r="H58" i="48"/>
  <c r="G58" i="48"/>
  <c r="E58" i="48"/>
  <c r="D58" i="48"/>
  <c r="F56" i="48"/>
  <c r="I56" i="48" s="1"/>
  <c r="F55" i="48"/>
  <c r="I55" i="48" s="1"/>
  <c r="F54" i="48"/>
  <c r="I54" i="48" s="1"/>
  <c r="F53" i="48"/>
  <c r="I53" i="48" s="1"/>
  <c r="F52" i="48"/>
  <c r="I52" i="48" s="1"/>
  <c r="F51" i="48"/>
  <c r="I51" i="48" s="1"/>
  <c r="F50" i="48"/>
  <c r="I50" i="48" s="1"/>
  <c r="F49" i="48"/>
  <c r="I49" i="48" s="1"/>
  <c r="H48" i="48"/>
  <c r="G48" i="48"/>
  <c r="G47" i="48" s="1"/>
  <c r="E48" i="48"/>
  <c r="F48" i="48" s="1"/>
  <c r="E47" i="48"/>
  <c r="F45" i="48"/>
  <c r="I45" i="48" s="1"/>
  <c r="F44" i="48"/>
  <c r="I44" i="48" s="1"/>
  <c r="F43" i="48"/>
  <c r="I43" i="48" s="1"/>
  <c r="F42" i="48"/>
  <c r="I42" i="48" s="1"/>
  <c r="H41" i="48"/>
  <c r="G41" i="48"/>
  <c r="E41" i="48"/>
  <c r="D41" i="48"/>
  <c r="F39" i="48"/>
  <c r="I39" i="48" s="1"/>
  <c r="F38" i="48"/>
  <c r="I38" i="48" s="1"/>
  <c r="F37" i="48"/>
  <c r="I37" i="48" s="1"/>
  <c r="F36" i="48"/>
  <c r="I36" i="48" s="1"/>
  <c r="F35" i="48"/>
  <c r="I35" i="48" s="1"/>
  <c r="F34" i="48"/>
  <c r="I34" i="48" s="1"/>
  <c r="F33" i="48"/>
  <c r="I33" i="48" s="1"/>
  <c r="F32" i="48"/>
  <c r="I32" i="48" s="1"/>
  <c r="F31" i="48"/>
  <c r="I31" i="48" s="1"/>
  <c r="H30" i="48"/>
  <c r="G30" i="48"/>
  <c r="E30" i="48"/>
  <c r="D30" i="48"/>
  <c r="F28" i="48"/>
  <c r="I28" i="48" s="1"/>
  <c r="F27" i="48"/>
  <c r="I27" i="48" s="1"/>
  <c r="E84" i="48"/>
  <c r="E29" i="47"/>
  <c r="H29" i="47" s="1"/>
  <c r="E28" i="47"/>
  <c r="H28" i="47" s="1"/>
  <c r="H27" i="47"/>
  <c r="E27" i="47"/>
  <c r="E26" i="47"/>
  <c r="H26" i="47" s="1"/>
  <c r="E25" i="47"/>
  <c r="H25" i="47" s="1"/>
  <c r="E24" i="47"/>
  <c r="H24" i="47" s="1"/>
  <c r="E23" i="47"/>
  <c r="H23" i="47" s="1"/>
  <c r="E22" i="47"/>
  <c r="H22" i="47" s="1"/>
  <c r="G20" i="47"/>
  <c r="F20" i="47"/>
  <c r="D20" i="47"/>
  <c r="C20" i="47"/>
  <c r="E20" i="47" s="1"/>
  <c r="H18" i="47"/>
  <c r="E18" i="47"/>
  <c r="E17" i="47"/>
  <c r="H17" i="47" s="1"/>
  <c r="E16" i="47"/>
  <c r="H16" i="47" s="1"/>
  <c r="E15" i="47"/>
  <c r="H15" i="47" s="1"/>
  <c r="E14" i="47"/>
  <c r="H14" i="47" s="1"/>
  <c r="E13" i="47"/>
  <c r="H13" i="47" s="1"/>
  <c r="E12" i="47"/>
  <c r="H12" i="47" s="1"/>
  <c r="F31" i="47"/>
  <c r="D31" i="47"/>
  <c r="F159" i="46"/>
  <c r="I159" i="46" s="1"/>
  <c r="F158" i="46"/>
  <c r="I158" i="46" s="1"/>
  <c r="F157" i="46"/>
  <c r="I157" i="46" s="1"/>
  <c r="F156" i="46"/>
  <c r="I156" i="46" s="1"/>
  <c r="F155" i="46"/>
  <c r="I155" i="46" s="1"/>
  <c r="F154" i="46"/>
  <c r="I154" i="46" s="1"/>
  <c r="F153" i="46"/>
  <c r="I153" i="46" s="1"/>
  <c r="H152" i="46"/>
  <c r="G152" i="46"/>
  <c r="E152" i="46"/>
  <c r="D152" i="46"/>
  <c r="F151" i="46"/>
  <c r="I151" i="46" s="1"/>
  <c r="F150" i="46"/>
  <c r="I150" i="46" s="1"/>
  <c r="F149" i="46"/>
  <c r="I149" i="46" s="1"/>
  <c r="H148" i="46"/>
  <c r="G148" i="46"/>
  <c r="E148" i="46"/>
  <c r="D148" i="46"/>
  <c r="F148" i="46" s="1"/>
  <c r="F147" i="46"/>
  <c r="I147" i="46" s="1"/>
  <c r="F146" i="46"/>
  <c r="I146" i="46" s="1"/>
  <c r="F145" i="46"/>
  <c r="I145" i="46" s="1"/>
  <c r="F144" i="46"/>
  <c r="I144" i="46" s="1"/>
  <c r="F143" i="46"/>
  <c r="I143" i="46" s="1"/>
  <c r="F142" i="46"/>
  <c r="I142" i="46" s="1"/>
  <c r="F141" i="46"/>
  <c r="I141" i="46" s="1"/>
  <c r="H140" i="46"/>
  <c r="G140" i="46"/>
  <c r="E140" i="46"/>
  <c r="D140" i="46"/>
  <c r="F139" i="46"/>
  <c r="I139" i="46" s="1"/>
  <c r="F138" i="46"/>
  <c r="I138" i="46" s="1"/>
  <c r="F137" i="46"/>
  <c r="I137" i="46" s="1"/>
  <c r="H136" i="46"/>
  <c r="G136" i="46"/>
  <c r="E136" i="46"/>
  <c r="D136" i="46"/>
  <c r="F135" i="46"/>
  <c r="I135" i="46" s="1"/>
  <c r="F134" i="46"/>
  <c r="I134" i="46" s="1"/>
  <c r="F133" i="46"/>
  <c r="I133" i="46" s="1"/>
  <c r="F132" i="46"/>
  <c r="I132" i="46" s="1"/>
  <c r="F131" i="46"/>
  <c r="I131" i="46" s="1"/>
  <c r="F130" i="46"/>
  <c r="I130" i="46" s="1"/>
  <c r="F129" i="46"/>
  <c r="I129" i="46" s="1"/>
  <c r="F128" i="46"/>
  <c r="I128" i="46" s="1"/>
  <c r="F127" i="46"/>
  <c r="I127" i="46" s="1"/>
  <c r="H126" i="46"/>
  <c r="G126" i="46"/>
  <c r="E126" i="46"/>
  <c r="D126" i="46"/>
  <c r="F125" i="46"/>
  <c r="I125" i="46" s="1"/>
  <c r="F124" i="46"/>
  <c r="I124" i="46" s="1"/>
  <c r="F123" i="46"/>
  <c r="I123" i="46" s="1"/>
  <c r="F122" i="46"/>
  <c r="I122" i="46" s="1"/>
  <c r="F121" i="46"/>
  <c r="I121" i="46" s="1"/>
  <c r="F120" i="46"/>
  <c r="I120" i="46" s="1"/>
  <c r="F119" i="46"/>
  <c r="I119" i="46" s="1"/>
  <c r="F118" i="46"/>
  <c r="I118" i="46" s="1"/>
  <c r="F117" i="46"/>
  <c r="I117" i="46" s="1"/>
  <c r="H116" i="46"/>
  <c r="G116" i="46"/>
  <c r="E116" i="46"/>
  <c r="D116" i="46"/>
  <c r="F115" i="46"/>
  <c r="I115" i="46" s="1"/>
  <c r="F114" i="46"/>
  <c r="I114" i="46" s="1"/>
  <c r="F113" i="46"/>
  <c r="I113" i="46" s="1"/>
  <c r="F112" i="46"/>
  <c r="I112" i="46" s="1"/>
  <c r="F111" i="46"/>
  <c r="I111" i="46" s="1"/>
  <c r="F110" i="46"/>
  <c r="I110" i="46" s="1"/>
  <c r="F109" i="46"/>
  <c r="I109" i="46" s="1"/>
  <c r="F108" i="46"/>
  <c r="I108" i="46" s="1"/>
  <c r="F107" i="46"/>
  <c r="I107" i="46" s="1"/>
  <c r="H106" i="46"/>
  <c r="G106" i="46"/>
  <c r="E106" i="46"/>
  <c r="D106" i="46"/>
  <c r="F105" i="46"/>
  <c r="I105" i="46" s="1"/>
  <c r="I104" i="46"/>
  <c r="F104" i="46"/>
  <c r="F103" i="46"/>
  <c r="I103" i="46" s="1"/>
  <c r="F102" i="46"/>
  <c r="I102" i="46" s="1"/>
  <c r="F101" i="46"/>
  <c r="I101" i="46" s="1"/>
  <c r="F100" i="46"/>
  <c r="I100" i="46" s="1"/>
  <c r="F99" i="46"/>
  <c r="I99" i="46" s="1"/>
  <c r="F98" i="46"/>
  <c r="I98" i="46" s="1"/>
  <c r="F97" i="46"/>
  <c r="I97" i="46" s="1"/>
  <c r="H96" i="46"/>
  <c r="G96" i="46"/>
  <c r="E96" i="46"/>
  <c r="D96" i="46"/>
  <c r="F95" i="46"/>
  <c r="I95" i="46" s="1"/>
  <c r="F94" i="46"/>
  <c r="I94" i="46" s="1"/>
  <c r="F93" i="46"/>
  <c r="I93" i="46" s="1"/>
  <c r="F92" i="46"/>
  <c r="I92" i="46" s="1"/>
  <c r="F91" i="46"/>
  <c r="I91" i="46" s="1"/>
  <c r="F90" i="46"/>
  <c r="I90" i="46" s="1"/>
  <c r="F89" i="46"/>
  <c r="I89" i="46" s="1"/>
  <c r="H88" i="46"/>
  <c r="G88" i="46"/>
  <c r="E88" i="46"/>
  <c r="D88" i="46"/>
  <c r="F81" i="46"/>
  <c r="I81" i="46" s="1"/>
  <c r="I80" i="46"/>
  <c r="F80" i="46"/>
  <c r="F79" i="46"/>
  <c r="I79" i="46" s="1"/>
  <c r="F78" i="46"/>
  <c r="I78" i="46" s="1"/>
  <c r="F77" i="46"/>
  <c r="I77" i="46" s="1"/>
  <c r="F76" i="46"/>
  <c r="I76" i="46" s="1"/>
  <c r="F75" i="46"/>
  <c r="I75" i="46" s="1"/>
  <c r="H74" i="46"/>
  <c r="G74" i="46"/>
  <c r="E74" i="46"/>
  <c r="D74" i="46"/>
  <c r="F73" i="46"/>
  <c r="I73" i="46" s="1"/>
  <c r="F72" i="46"/>
  <c r="I72" i="46" s="1"/>
  <c r="F71" i="46"/>
  <c r="I71" i="46" s="1"/>
  <c r="H70" i="46"/>
  <c r="G70" i="46"/>
  <c r="E70" i="46"/>
  <c r="D70" i="46"/>
  <c r="F69" i="46"/>
  <c r="I69" i="46" s="1"/>
  <c r="F68" i="46"/>
  <c r="I68" i="46" s="1"/>
  <c r="F67" i="46"/>
  <c r="I67" i="46" s="1"/>
  <c r="F66" i="46"/>
  <c r="I66" i="46" s="1"/>
  <c r="F65" i="46"/>
  <c r="I65" i="46" s="1"/>
  <c r="F64" i="46"/>
  <c r="I64" i="46" s="1"/>
  <c r="F63" i="46"/>
  <c r="I63" i="46" s="1"/>
  <c r="H62" i="46"/>
  <c r="G62" i="46"/>
  <c r="E62" i="46"/>
  <c r="D62" i="46"/>
  <c r="F61" i="46"/>
  <c r="I61" i="46" s="1"/>
  <c r="F60" i="46"/>
  <c r="I60" i="46" s="1"/>
  <c r="F59" i="46"/>
  <c r="I59" i="46" s="1"/>
  <c r="H58" i="46"/>
  <c r="G58" i="46"/>
  <c r="E58" i="46"/>
  <c r="D58" i="46"/>
  <c r="F57" i="46"/>
  <c r="I57" i="46" s="1"/>
  <c r="F56" i="46"/>
  <c r="I56" i="46" s="1"/>
  <c r="F55" i="46"/>
  <c r="I55" i="46" s="1"/>
  <c r="E87" i="46" l="1"/>
  <c r="F21" i="49"/>
  <c r="D47" i="48"/>
  <c r="D32" i="49"/>
  <c r="G87" i="46"/>
  <c r="F116" i="46"/>
  <c r="I116" i="46" s="1"/>
  <c r="C31" i="47"/>
  <c r="E24" i="49"/>
  <c r="G84" i="48"/>
  <c r="F32" i="49"/>
  <c r="G21" i="49"/>
  <c r="H28" i="49"/>
  <c r="H47" i="48"/>
  <c r="E16" i="49"/>
  <c r="H16" i="49" s="1"/>
  <c r="F96" i="46"/>
  <c r="F62" i="46"/>
  <c r="I62" i="46" s="1"/>
  <c r="F74" i="46"/>
  <c r="I74" i="46" s="1"/>
  <c r="F136" i="46"/>
  <c r="I136" i="46" s="1"/>
  <c r="G31" i="47"/>
  <c r="E161" i="46"/>
  <c r="H87" i="46"/>
  <c r="G161" i="46"/>
  <c r="G32" i="49"/>
  <c r="I148" i="46"/>
  <c r="H20" i="47"/>
  <c r="F58" i="46"/>
  <c r="I58" i="46" s="1"/>
  <c r="F70" i="46"/>
  <c r="I70" i="46" s="1"/>
  <c r="D87" i="46"/>
  <c r="F88" i="46"/>
  <c r="F106" i="46"/>
  <c r="I106" i="46" s="1"/>
  <c r="F126" i="46"/>
  <c r="I126" i="46" s="1"/>
  <c r="F140" i="46"/>
  <c r="I140" i="46" s="1"/>
  <c r="F152" i="46"/>
  <c r="I152" i="46" s="1"/>
  <c r="F41" i="48"/>
  <c r="I41" i="48" s="1"/>
  <c r="F58" i="48"/>
  <c r="I58" i="48" s="1"/>
  <c r="F78" i="48"/>
  <c r="I78" i="48" s="1"/>
  <c r="C21" i="49"/>
  <c r="I96" i="46"/>
  <c r="F30" i="48"/>
  <c r="I30" i="48" s="1"/>
  <c r="F67" i="48"/>
  <c r="I67" i="48" s="1"/>
  <c r="H12" i="49"/>
  <c r="H24" i="49"/>
  <c r="H21" i="49" s="1"/>
  <c r="E21" i="49"/>
  <c r="I48" i="48"/>
  <c r="F47" i="48"/>
  <c r="I88" i="46"/>
  <c r="D84" i="48" l="1"/>
  <c r="H84" i="48"/>
  <c r="I47" i="48"/>
  <c r="I87" i="46"/>
  <c r="D161" i="46"/>
  <c r="F84" i="48"/>
  <c r="C32" i="49"/>
  <c r="I84" i="48"/>
  <c r="F87" i="46"/>
  <c r="H32" i="49"/>
  <c r="E32" i="49"/>
  <c r="E31" i="47"/>
  <c r="H31" i="47"/>
  <c r="F161" i="46" l="1"/>
  <c r="J18" i="38"/>
  <c r="F79" i="42"/>
  <c r="G79" i="42"/>
  <c r="H79" i="42"/>
  <c r="I79" i="42"/>
  <c r="J79" i="42"/>
  <c r="F71" i="42"/>
  <c r="G71" i="42"/>
  <c r="H71" i="42"/>
  <c r="I71" i="42"/>
  <c r="J71" i="42"/>
  <c r="F63" i="42"/>
  <c r="G63" i="42"/>
  <c r="H63" i="42"/>
  <c r="I63" i="42"/>
  <c r="J63" i="42"/>
  <c r="F58" i="42"/>
  <c r="G58" i="42"/>
  <c r="H58" i="42"/>
  <c r="I58" i="42"/>
  <c r="J58" i="42"/>
  <c r="F49" i="42"/>
  <c r="G49" i="42"/>
  <c r="H49" i="42"/>
  <c r="I49" i="42"/>
  <c r="J49" i="42"/>
  <c r="I40" i="42"/>
  <c r="J40" i="42"/>
  <c r="F40" i="42"/>
  <c r="G40" i="42"/>
  <c r="H40" i="42"/>
  <c r="F31" i="42"/>
  <c r="G31" i="42"/>
  <c r="H31" i="42"/>
  <c r="I31" i="42"/>
  <c r="J31" i="42"/>
  <c r="J18" i="42"/>
  <c r="F70" i="41"/>
  <c r="G70" i="41"/>
  <c r="F54" i="41"/>
  <c r="F62" i="41" s="1"/>
  <c r="F63" i="41" s="1"/>
  <c r="G54" i="41"/>
  <c r="G62" i="41" s="1"/>
  <c r="G63" i="41" s="1"/>
  <c r="F43" i="41"/>
  <c r="G43" i="41"/>
  <c r="F40" i="41"/>
  <c r="G40" i="41"/>
  <c r="F30" i="41"/>
  <c r="G30" i="41"/>
  <c r="F19" i="41"/>
  <c r="G19" i="41"/>
  <c r="F15" i="41"/>
  <c r="G15" i="41"/>
  <c r="G10" i="41"/>
  <c r="F10" i="41"/>
  <c r="L18" i="39"/>
  <c r="J18" i="39"/>
  <c r="K18" i="39"/>
  <c r="G18" i="39"/>
  <c r="I18" i="39"/>
  <c r="J8" i="39"/>
  <c r="J28" i="39" s="1"/>
  <c r="K8" i="39"/>
  <c r="L8" i="39"/>
  <c r="G8" i="39"/>
  <c r="G28" i="39" s="1"/>
  <c r="I8" i="39"/>
  <c r="K18" i="38"/>
  <c r="H18" i="38"/>
  <c r="G18" i="38"/>
  <c r="F18" i="38"/>
  <c r="K10" i="38"/>
  <c r="K9" i="38" s="1"/>
  <c r="K28" i="38" s="1"/>
  <c r="J10" i="38"/>
  <c r="G10" i="38"/>
  <c r="G9" i="38" s="1"/>
  <c r="H10" i="38"/>
  <c r="F10" i="38"/>
  <c r="F9" i="38" s="1"/>
  <c r="I76" i="36"/>
  <c r="I42" i="36"/>
  <c r="I38" i="36"/>
  <c r="I27" i="36"/>
  <c r="I23" i="36"/>
  <c r="I19" i="36"/>
  <c r="D41" i="36"/>
  <c r="E31" i="36"/>
  <c r="D31" i="36"/>
  <c r="E41" i="36"/>
  <c r="E38" i="36"/>
  <c r="E10" i="38"/>
  <c r="D38" i="36"/>
  <c r="E25" i="36"/>
  <c r="E79" i="42"/>
  <c r="E71" i="42"/>
  <c r="E63" i="42"/>
  <c r="E58" i="42"/>
  <c r="E49" i="42"/>
  <c r="E40" i="42"/>
  <c r="E31" i="42"/>
  <c r="E70" i="41"/>
  <c r="E54" i="41"/>
  <c r="E62" i="41" s="1"/>
  <c r="E63" i="41" s="1"/>
  <c r="E43" i="41"/>
  <c r="E40" i="41"/>
  <c r="E30" i="41"/>
  <c r="E19" i="41"/>
  <c r="E15" i="41"/>
  <c r="E10" i="41"/>
  <c r="E18" i="38"/>
  <c r="H76" i="36"/>
  <c r="H19" i="36"/>
  <c r="H23" i="36"/>
  <c r="H27" i="36"/>
  <c r="H38" i="36"/>
  <c r="H42" i="36"/>
  <c r="J69" i="42" l="1"/>
  <c r="F69" i="42"/>
  <c r="H9" i="38"/>
  <c r="H28" i="38" s="1"/>
  <c r="G47" i="41"/>
  <c r="J44" i="42"/>
  <c r="J74" i="42" s="1"/>
  <c r="I69" i="42"/>
  <c r="G69" i="42"/>
  <c r="L28" i="39"/>
  <c r="M28" i="39" s="1"/>
  <c r="M18" i="39"/>
  <c r="F74" i="42"/>
  <c r="G74" i="42"/>
  <c r="E69" i="42"/>
  <c r="E74" i="42" s="1"/>
  <c r="F47" i="41"/>
  <c r="I74" i="42"/>
  <c r="H69" i="42"/>
  <c r="H74" i="42" s="1"/>
  <c r="G23" i="41"/>
  <c r="G24" i="41" s="1"/>
  <c r="G25" i="41" s="1"/>
  <c r="G34" i="41" s="1"/>
  <c r="I10" i="38"/>
  <c r="E9" i="38"/>
  <c r="I28" i="39"/>
  <c r="K28" i="39"/>
  <c r="M8" i="39"/>
  <c r="F23" i="41"/>
  <c r="F24" i="41" s="1"/>
  <c r="F25" i="41" s="1"/>
  <c r="F34" i="41" s="1"/>
  <c r="J9" i="38"/>
  <c r="J28" i="38" s="1"/>
  <c r="E23" i="41"/>
  <c r="E24" i="41" s="1"/>
  <c r="E25" i="41" s="1"/>
  <c r="E34" i="41" s="1"/>
  <c r="E47" i="41"/>
  <c r="I9" i="38"/>
  <c r="I18" i="38"/>
  <c r="D25" i="36"/>
  <c r="AA214" i="17" l="1"/>
  <c r="I18" i="36" l="1"/>
  <c r="J686" i="33" l="1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J289" i="33" s="1"/>
  <c r="H289" i="33"/>
  <c r="I288" i="33"/>
  <c r="H288" i="33"/>
  <c r="I285" i="33"/>
  <c r="H285" i="33"/>
  <c r="H274" i="33"/>
  <c r="H275" i="33"/>
  <c r="I258" i="33"/>
  <c r="I257" i="33" s="1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J30" i="33" s="1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J33" i="33" l="1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J460" i="33" s="1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I357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H114" i="33" s="1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J394" i="33" l="1"/>
  <c r="J392" i="33" s="1"/>
  <c r="G357" i="33"/>
  <c r="J364" i="33"/>
  <c r="H398" i="33"/>
  <c r="H397" i="33" s="1"/>
  <c r="I114" i="33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I9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P99" i="32"/>
  <c r="P98" i="32" s="1"/>
  <c r="O99" i="32"/>
  <c r="O98" i="32" s="1"/>
  <c r="R98" i="32"/>
  <c r="Q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P51" i="32" s="1"/>
  <c r="O52" i="32"/>
  <c r="O51" i="32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P24" i="32" s="1"/>
  <c r="O25" i="32"/>
  <c r="O24" i="32" s="1"/>
  <c r="R24" i="32"/>
  <c r="R21" i="32"/>
  <c r="Q21" i="32"/>
  <c r="P21" i="32"/>
  <c r="O21" i="32"/>
  <c r="R17" i="32"/>
  <c r="R14" i="32" s="1"/>
  <c r="Q17" i="32"/>
  <c r="P17" i="32"/>
  <c r="P14" i="32" s="1"/>
  <c r="P105" i="32" s="1"/>
  <c r="O17" i="32"/>
  <c r="Q14" i="32"/>
  <c r="O14" i="32"/>
  <c r="O105" i="32" s="1"/>
  <c r="Q105" i="32" l="1"/>
  <c r="R105" i="32"/>
  <c r="N99" i="32" l="1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105" i="32" s="1"/>
  <c r="L24" i="32"/>
  <c r="M14" i="32"/>
  <c r="M105" i="32" s="1"/>
  <c r="D103" i="32" l="1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I99" i="32"/>
  <c r="I98" i="32" s="1"/>
  <c r="H99" i="32"/>
  <c r="H98" i="32" s="1"/>
  <c r="G99" i="32"/>
  <c r="G98" i="32" s="1"/>
  <c r="F99" i="32"/>
  <c r="E99" i="32"/>
  <c r="J98" i="32"/>
  <c r="F98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K14" i="32" s="1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D17" i="32" l="1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  <c r="I9" i="36" l="1"/>
  <c r="H18" i="36"/>
  <c r="H9" i="36" s="1"/>
  <c r="X694" i="17"/>
  <c r="X686" i="17" s="1"/>
  <c r="X664" i="17" s="1"/>
  <c r="X599" i="17"/>
  <c r="X593" i="17"/>
  <c r="X586" i="17"/>
  <c r="X584" i="17"/>
  <c r="X577" i="17"/>
  <c r="X572" i="17"/>
  <c r="X563" i="17"/>
  <c r="X561" i="17"/>
  <c r="X553" i="17"/>
  <c r="X547" i="17"/>
  <c r="X545" i="17"/>
  <c r="X541" i="17"/>
  <c r="X539" i="17"/>
  <c r="X536" i="17"/>
  <c r="X532" i="17"/>
  <c r="X528" i="17"/>
  <c r="X521" i="17"/>
  <c r="X517" i="17"/>
  <c r="X514" i="17"/>
  <c r="X510" i="17"/>
  <c r="X508" i="17"/>
  <c r="X506" i="17"/>
  <c r="X471" i="17"/>
  <c r="X459" i="17"/>
  <c r="X450" i="17" s="1"/>
  <c r="X445" i="17"/>
  <c r="X441" i="17" s="1"/>
  <c r="X432" i="17"/>
  <c r="X427" i="17" s="1"/>
  <c r="X405" i="17"/>
  <c r="X403" i="17" s="1"/>
  <c r="X375" i="17"/>
  <c r="X373" i="17" s="1"/>
  <c r="X321" i="17"/>
  <c r="X316" i="17" s="1"/>
  <c r="X264" i="17"/>
  <c r="X255" i="17" s="1"/>
  <c r="X241" i="17"/>
  <c r="X235" i="17" s="1"/>
  <c r="X219" i="17"/>
  <c r="X218" i="17" s="1"/>
  <c r="X158" i="17"/>
  <c r="X147" i="17"/>
  <c r="X141" i="17"/>
  <c r="X140" i="17" s="1"/>
  <c r="X119" i="17"/>
  <c r="X111" i="17"/>
  <c r="X108" i="17" s="1"/>
  <c r="X73" i="17"/>
  <c r="X45" i="17"/>
  <c r="X8" i="17"/>
  <c r="X7" i="17" s="1"/>
  <c r="X5" i="17" s="1"/>
  <c r="X409" i="17" l="1"/>
  <c r="X408" i="17" s="1"/>
  <c r="X505" i="17"/>
  <c r="X42" i="17"/>
  <c r="X4" i="17" s="1"/>
  <c r="X368" i="17"/>
  <c r="X118" i="17"/>
  <c r="X96" i="17" s="1"/>
  <c r="X520" i="17"/>
  <c r="X552" i="17"/>
  <c r="X254" i="17"/>
  <c r="X253" i="17" s="1"/>
  <c r="X504" i="17" l="1"/>
  <c r="X503" i="17" s="1"/>
  <c r="X3" i="17"/>
  <c r="W375" i="17" l="1"/>
  <c r="AA390" i="17"/>
  <c r="AA23" i="17" l="1"/>
  <c r="AA22" i="17"/>
  <c r="AA21" i="17"/>
  <c r="AA20" i="17"/>
  <c r="AA19" i="17"/>
  <c r="AA18" i="17"/>
  <c r="AA17" i="17"/>
  <c r="AA16" i="17"/>
  <c r="AA15" i="17"/>
  <c r="AA14" i="17"/>
  <c r="AA13" i="17"/>
  <c r="AA12" i="17"/>
  <c r="AA11" i="17"/>
  <c r="AA10" i="17"/>
  <c r="AA9" i="17"/>
  <c r="AA8" i="17"/>
  <c r="AA449" i="17" l="1"/>
  <c r="W264" i="17"/>
  <c r="AA290" i="17" l="1"/>
  <c r="AA407" i="17"/>
  <c r="AA406" i="17"/>
  <c r="AA328" i="17"/>
  <c r="AA287" i="17"/>
  <c r="AA48" i="17" l="1"/>
  <c r="AA74" i="17" l="1"/>
  <c r="AA73" i="17" s="1"/>
  <c r="D24" i="36"/>
  <c r="AA518" i="17"/>
  <c r="AA513" i="17"/>
  <c r="AA519" i="17"/>
  <c r="AA517" i="17"/>
  <c r="AA436" i="17"/>
  <c r="AA435" i="17"/>
  <c r="AA434" i="17"/>
  <c r="AA461" i="17"/>
  <c r="AA460" i="17"/>
  <c r="AA448" i="17"/>
  <c r="AA447" i="17"/>
  <c r="AA446" i="17"/>
  <c r="AA440" i="17"/>
  <c r="AA439" i="17"/>
  <c r="AA438" i="17"/>
  <c r="AA437" i="17"/>
  <c r="AA433" i="17"/>
  <c r="AA445" i="17" l="1"/>
  <c r="AA441" i="17" s="1"/>
  <c r="AA459" i="17"/>
  <c r="AA450" i="17" s="1"/>
  <c r="AA432" i="17"/>
  <c r="AA427" i="17" s="1"/>
  <c r="AA697" i="17"/>
  <c r="AA696" i="17"/>
  <c r="AA695" i="17"/>
  <c r="AA605" i="17"/>
  <c r="AA604" i="17"/>
  <c r="AA600" i="17"/>
  <c r="AA598" i="17"/>
  <c r="AA597" i="17"/>
  <c r="AA596" i="17"/>
  <c r="AA595" i="17"/>
  <c r="AA594" i="17"/>
  <c r="AA592" i="17"/>
  <c r="AA591" i="17"/>
  <c r="AA590" i="17"/>
  <c r="AA589" i="17"/>
  <c r="AA588" i="17"/>
  <c r="AA587" i="17"/>
  <c r="AA585" i="17"/>
  <c r="AA584" i="17" s="1"/>
  <c r="AA583" i="17"/>
  <c r="AA582" i="17"/>
  <c r="AA580" i="17"/>
  <c r="AA579" i="17"/>
  <c r="AA578" i="17"/>
  <c r="AA576" i="17"/>
  <c r="AA575" i="17"/>
  <c r="AA574" i="17"/>
  <c r="AA573" i="17"/>
  <c r="AA571" i="17"/>
  <c r="AA570" i="17"/>
  <c r="AA569" i="17"/>
  <c r="AA568" i="17"/>
  <c r="AA567" i="17"/>
  <c r="AA566" i="17"/>
  <c r="AA565" i="17"/>
  <c r="AA564" i="17"/>
  <c r="AA562" i="17"/>
  <c r="AA561" i="17" s="1"/>
  <c r="AA560" i="17"/>
  <c r="AA559" i="17"/>
  <c r="AA557" i="17"/>
  <c r="AA556" i="17"/>
  <c r="AA555" i="17"/>
  <c r="AA554" i="17"/>
  <c r="AA551" i="17"/>
  <c r="AA550" i="17"/>
  <c r="AA549" i="17"/>
  <c r="AA548" i="17"/>
  <c r="AA546" i="17"/>
  <c r="AA545" i="17" s="1"/>
  <c r="AA544" i="17"/>
  <c r="AA543" i="17"/>
  <c r="AA542" i="17"/>
  <c r="AA540" i="17"/>
  <c r="AA539" i="17" s="1"/>
  <c r="AA538" i="17"/>
  <c r="AA537" i="17"/>
  <c r="AA531" i="17"/>
  <c r="AA535" i="17"/>
  <c r="AA534" i="17"/>
  <c r="AA533" i="17"/>
  <c r="AA530" i="17"/>
  <c r="AA529" i="17"/>
  <c r="AA527" i="17"/>
  <c r="AA526" i="17"/>
  <c r="AA525" i="17"/>
  <c r="AA524" i="17"/>
  <c r="AA523" i="17"/>
  <c r="AA522" i="17"/>
  <c r="AA528" i="17" l="1"/>
  <c r="AA532" i="17"/>
  <c r="AA563" i="17"/>
  <c r="AA577" i="17"/>
  <c r="AA593" i="17"/>
  <c r="AA409" i="17"/>
  <c r="AA599" i="17"/>
  <c r="AA553" i="17"/>
  <c r="AA572" i="17"/>
  <c r="AA694" i="17"/>
  <c r="AA686" i="17" s="1"/>
  <c r="AA664" i="17" s="1"/>
  <c r="AA541" i="17"/>
  <c r="AA586" i="17"/>
  <c r="AA536" i="17"/>
  <c r="AA547" i="17"/>
  <c r="AA521" i="17"/>
  <c r="AA516" i="17"/>
  <c r="AA515" i="17"/>
  <c r="AA512" i="17"/>
  <c r="AA511" i="17"/>
  <c r="AA509" i="17"/>
  <c r="AA508" i="17" s="1"/>
  <c r="AA507" i="17"/>
  <c r="AA506" i="17" s="1"/>
  <c r="H161" i="46" l="1"/>
  <c r="I161" i="46" s="1"/>
  <c r="AA552" i="17"/>
  <c r="AA520" i="17"/>
  <c r="AA514" i="17"/>
  <c r="AA510" i="17"/>
  <c r="AA474" i="17"/>
  <c r="AA473" i="17"/>
  <c r="AA388" i="17"/>
  <c r="AA387" i="17"/>
  <c r="AA386" i="17"/>
  <c r="AA385" i="17"/>
  <c r="AA384" i="17"/>
  <c r="AA383" i="17"/>
  <c r="AA382" i="17"/>
  <c r="AA381" i="17"/>
  <c r="AA380" i="17"/>
  <c r="AA379" i="17"/>
  <c r="AA378" i="17"/>
  <c r="AA377" i="17"/>
  <c r="AA376" i="17"/>
  <c r="AA325" i="17"/>
  <c r="AA322" i="17"/>
  <c r="AA327" i="17"/>
  <c r="AA291" i="17"/>
  <c r="AA289" i="17"/>
  <c r="AA288" i="17"/>
  <c r="AA286" i="17"/>
  <c r="AA285" i="17"/>
  <c r="AA281" i="17"/>
  <c r="AA280" i="17"/>
  <c r="AA279" i="17"/>
  <c r="AA268" i="17"/>
  <c r="AA266" i="17"/>
  <c r="AA265" i="17"/>
  <c r="AA283" i="17"/>
  <c r="AA68" i="17"/>
  <c r="I91" i="36" l="1"/>
  <c r="H91" i="36"/>
  <c r="H89" i="36" s="1"/>
  <c r="I36" i="36"/>
  <c r="H84" i="36"/>
  <c r="AA375" i="17"/>
  <c r="AA505" i="17"/>
  <c r="AA504" i="17" s="1"/>
  <c r="AA503" i="17" s="1"/>
  <c r="AA405" i="17"/>
  <c r="AA403" i="17" s="1"/>
  <c r="AA323" i="17"/>
  <c r="AA267" i="17"/>
  <c r="AA324" i="17"/>
  <c r="AA472" i="17"/>
  <c r="AA326" i="17"/>
  <c r="AA284" i="17"/>
  <c r="E26" i="38" l="1"/>
  <c r="E28" i="38" s="1"/>
  <c r="I89" i="36"/>
  <c r="H83" i="36"/>
  <c r="H82" i="36" s="1"/>
  <c r="H93" i="36" s="1"/>
  <c r="AA321" i="17"/>
  <c r="AA316" i="17" s="1"/>
  <c r="AA264" i="17"/>
  <c r="AA255" i="17" s="1"/>
  <c r="AA373" i="17"/>
  <c r="AA368" i="17" s="1"/>
  <c r="I31" i="36" l="1"/>
  <c r="I47" i="36" s="1"/>
  <c r="I71" i="36" s="1"/>
  <c r="H36" i="36"/>
  <c r="H31" i="36" s="1"/>
  <c r="H47" i="36" s="1"/>
  <c r="H71" i="36" s="1"/>
  <c r="H95" i="36" s="1"/>
  <c r="I82" i="36"/>
  <c r="I93" i="36" s="1"/>
  <c r="AA254" i="17"/>
  <c r="AA253" i="17" s="1"/>
  <c r="AA242" i="17"/>
  <c r="E68" i="36"/>
  <c r="AA224" i="17"/>
  <c r="AA223" i="17"/>
  <c r="AA222" i="17"/>
  <c r="AA221" i="17"/>
  <c r="AA220" i="17"/>
  <c r="E66" i="36"/>
  <c r="AA215" i="17"/>
  <c r="AA213" i="17"/>
  <c r="AA212" i="17"/>
  <c r="AA211" i="17"/>
  <c r="AA210" i="17"/>
  <c r="AA209" i="17"/>
  <c r="AA208" i="17"/>
  <c r="AA207" i="17"/>
  <c r="AA206" i="17"/>
  <c r="AA205" i="17"/>
  <c r="AA204" i="17"/>
  <c r="AA203" i="17"/>
  <c r="AA202" i="17"/>
  <c r="AA201" i="17"/>
  <c r="AA200" i="17"/>
  <c r="AA199" i="17"/>
  <c r="AA198" i="17"/>
  <c r="AA197" i="17"/>
  <c r="AA196" i="17"/>
  <c r="AA195" i="17"/>
  <c r="AA194" i="17"/>
  <c r="AA193" i="17"/>
  <c r="AA192" i="17"/>
  <c r="AA191" i="17"/>
  <c r="AA190" i="17"/>
  <c r="AA189" i="17"/>
  <c r="AA188" i="17"/>
  <c r="AA187" i="17"/>
  <c r="AA186" i="17"/>
  <c r="AA185" i="17"/>
  <c r="AA184" i="17"/>
  <c r="AA183" i="17"/>
  <c r="AA182" i="17"/>
  <c r="AA181" i="17"/>
  <c r="AA180" i="17"/>
  <c r="AA179" i="17"/>
  <c r="AA178" i="17"/>
  <c r="AA177" i="17"/>
  <c r="AA176" i="17"/>
  <c r="AA175" i="17"/>
  <c r="AA174" i="17"/>
  <c r="AA173" i="17"/>
  <c r="AA172" i="17"/>
  <c r="AA171" i="17"/>
  <c r="AA170" i="17"/>
  <c r="AA169" i="17"/>
  <c r="AA168" i="17"/>
  <c r="AA167" i="17"/>
  <c r="AA166" i="17"/>
  <c r="AA165" i="17"/>
  <c r="AA164" i="17"/>
  <c r="AA163" i="17"/>
  <c r="AA162" i="17"/>
  <c r="AA161" i="17"/>
  <c r="AA160" i="17"/>
  <c r="AA159" i="17"/>
  <c r="AA154" i="17"/>
  <c r="AA153" i="17"/>
  <c r="AA152" i="17"/>
  <c r="AA151" i="17"/>
  <c r="AA150" i="17"/>
  <c r="AA149" i="17"/>
  <c r="AA148" i="17"/>
  <c r="AA145" i="17"/>
  <c r="AA144" i="17"/>
  <c r="AA143" i="17"/>
  <c r="AA142" i="17"/>
  <c r="AA141" i="17"/>
  <c r="AA139" i="17"/>
  <c r="AA138" i="17"/>
  <c r="AA137" i="17"/>
  <c r="AA136" i="17"/>
  <c r="AA135" i="17"/>
  <c r="AA134" i="17"/>
  <c r="AA133" i="17"/>
  <c r="AA132" i="17"/>
  <c r="AA131" i="17"/>
  <c r="AA130" i="17"/>
  <c r="AA129" i="17"/>
  <c r="AA128" i="17"/>
  <c r="AA127" i="17"/>
  <c r="AA126" i="17"/>
  <c r="AA125" i="17"/>
  <c r="AA124" i="17"/>
  <c r="AA123" i="17"/>
  <c r="AA122" i="17"/>
  <c r="AA121" i="17"/>
  <c r="AA120" i="17"/>
  <c r="AA113" i="17"/>
  <c r="AA112" i="17"/>
  <c r="AA56" i="17"/>
  <c r="AA53" i="17"/>
  <c r="AA52" i="17"/>
  <c r="AA69" i="17"/>
  <c r="AA67" i="17"/>
  <c r="AA66" i="17"/>
  <c r="AA55" i="17"/>
  <c r="AA54" i="17"/>
  <c r="AA51" i="17"/>
  <c r="AA50" i="17"/>
  <c r="AA49" i="17"/>
  <c r="AA47" i="17"/>
  <c r="AA46" i="17"/>
  <c r="E11" i="36"/>
  <c r="I95" i="36" l="1"/>
  <c r="E65" i="36"/>
  <c r="AB214" i="17"/>
  <c r="E64" i="36"/>
  <c r="D66" i="36"/>
  <c r="W191" i="17"/>
  <c r="AA7" i="17"/>
  <c r="AA5" i="17" s="1"/>
  <c r="AA471" i="17"/>
  <c r="AA219" i="17"/>
  <c r="AA218" i="17" s="1"/>
  <c r="AB215" i="17"/>
  <c r="AB191" i="17"/>
  <c r="AB181" i="17"/>
  <c r="AA158" i="17"/>
  <c r="AA119" i="17"/>
  <c r="AA241" i="17"/>
  <c r="AA235" i="17" s="1"/>
  <c r="AA147" i="17"/>
  <c r="AA140" i="17"/>
  <c r="AA111" i="17"/>
  <c r="D68" i="36"/>
  <c r="E72" i="36" l="1"/>
  <c r="E24" i="36"/>
  <c r="D65" i="36"/>
  <c r="AA118" i="17"/>
  <c r="AA108" i="17"/>
  <c r="AA408" i="17"/>
  <c r="D64" i="36" l="1"/>
  <c r="D72" i="36" s="1"/>
  <c r="AA96" i="17"/>
  <c r="AA45" i="17"/>
  <c r="D20" i="36"/>
  <c r="D17" i="36" s="1"/>
  <c r="E20" i="36" l="1"/>
  <c r="E17" i="36" s="1"/>
  <c r="AA42" i="17"/>
  <c r="AA4" i="17" l="1"/>
  <c r="AA3" i="17" s="1"/>
  <c r="E9" i="36" l="1"/>
  <c r="E47" i="36" s="1"/>
  <c r="E74" i="36" s="1"/>
  <c r="D11" i="36"/>
  <c r="D9" i="36" s="1"/>
  <c r="D47" i="36" s="1"/>
  <c r="D74" i="36" s="1"/>
  <c r="E78" i="41" l="1"/>
  <c r="E79" i="41" s="1"/>
  <c r="F74" i="41"/>
  <c r="F78" i="41" s="1"/>
  <c r="F79" i="41" s="1"/>
  <c r="G74" i="41"/>
  <c r="G78" i="41" s="1"/>
  <c r="G79" i="41" s="1"/>
</calcChain>
</file>

<file path=xl/sharedStrings.xml><?xml version="1.0" encoding="utf-8"?>
<sst xmlns="http://schemas.openxmlformats.org/spreadsheetml/2006/main" count="2369" uniqueCount="1310">
  <si>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</si>
  <si>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</si>
  <si>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</si>
  <si>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</si>
  <si>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</si>
  <si>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</si>
  <si>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</si>
  <si>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</si>
  <si>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</si>
  <si>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</si>
  <si>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</si>
  <si>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</si>
  <si>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</si>
  <si>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</si>
  <si>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</si>
  <si>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</si>
  <si>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</si>
  <si>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</si>
  <si>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</si>
  <si>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</si>
  <si>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</si>
  <si>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</si>
  <si>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</si>
  <si>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</si>
  <si>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</si>
  <si>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</si>
  <si>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</si>
  <si>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</si>
  <si>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</si>
  <si>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</si>
  <si>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</si>
  <si>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</si>
  <si>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</si>
  <si>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</si>
  <si>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</si>
  <si>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</si>
  <si>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</si>
  <si>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</si>
  <si>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</si>
  <si>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</si>
  <si>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</si>
  <si>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</si>
  <si>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</si>
  <si>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</si>
  <si>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</si>
  <si>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</si>
  <si>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</si>
  <si>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</si>
  <si>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</si>
  <si>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</si>
  <si>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</si>
  <si>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</si>
  <si>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</si>
  <si>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</si>
  <si>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</si>
  <si>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</si>
  <si>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</si>
  <si>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</si>
  <si>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</si>
  <si>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</si>
  <si>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</si>
  <si>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</si>
  <si>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</si>
  <si>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</si>
  <si>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</si>
  <si>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</si>
  <si>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</si>
  <si>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</si>
  <si>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</si>
  <si>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</si>
  <si>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</si>
  <si>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</si>
  <si>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</si>
  <si>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</si>
  <si>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</si>
  <si>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</si>
  <si>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</si>
  <si>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</si>
  <si>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</si>
  <si>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</si>
  <si>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</si>
  <si>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</si>
  <si>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</si>
  <si>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</si>
  <si>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</si>
  <si>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</si>
  <si>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</si>
  <si>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</si>
  <si>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</si>
  <si>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</si>
  <si>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</si>
  <si>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</si>
  <si>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</si>
  <si>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</si>
  <si>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</si>
  <si>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</si>
  <si>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</si>
  <si>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</si>
  <si>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</si>
  <si>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</si>
  <si>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</si>
  <si>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</si>
  <si>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</si>
  <si>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</si>
  <si>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</si>
  <si>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</si>
  <si>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</si>
  <si>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</si>
  <si>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</si>
  <si>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</si>
  <si>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</si>
  <si>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</si>
  <si>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</si>
  <si>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</si>
  <si>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</si>
  <si>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</si>
  <si>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</si>
  <si>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</si>
  <si>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</si>
  <si>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</si>
  <si>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</si>
  <si>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</si>
  <si>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</si>
  <si>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</si>
  <si>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</si>
  <si>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</si>
  <si>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</si>
  <si>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</si>
  <si>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</si>
  <si>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</si>
  <si>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</si>
  <si>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</si>
  <si>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</si>
  <si>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</si>
  <si>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</si>
  <si>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</si>
  <si>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</si>
  <si>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</si>
  <si>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</si>
  <si>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</si>
  <si>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</si>
  <si>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</si>
  <si>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</si>
  <si>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</si>
  <si>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</si>
  <si>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</si>
  <si>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</si>
  <si>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</si>
  <si>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</si>
  <si>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</si>
  <si>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</si>
  <si>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</si>
  <si>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</si>
  <si>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</si>
  <si>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</si>
  <si>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</si>
  <si>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</si>
  <si>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</si>
  <si>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</si>
  <si>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</si>
  <si>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</si>
  <si>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</si>
  <si>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</si>
  <si>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</si>
  <si>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</si>
  <si>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</si>
  <si>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</si>
  <si>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</si>
  <si>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</si>
  <si>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</si>
  <si>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</si>
  <si>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</si>
  <si>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</si>
  <si>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</si>
  <si>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</si>
  <si>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</si>
  <si>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</si>
  <si>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</si>
  <si>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</si>
  <si>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</si>
  <si>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</si>
  <si>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</si>
  <si>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</si>
  <si>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</si>
  <si>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</si>
  <si>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</si>
  <si>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</si>
  <si>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</si>
  <si>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</si>
  <si>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</si>
  <si>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</si>
  <si>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</si>
  <si>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</si>
  <si>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</si>
  <si>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</si>
  <si>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</si>
  <si>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</si>
  <si>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</si>
  <si>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</si>
  <si>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</si>
  <si>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</si>
  <si>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</si>
  <si>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</si>
  <si>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</si>
  <si>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</si>
  <si>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</si>
  <si>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</si>
  <si>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</si>
  <si>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</si>
  <si>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</si>
  <si>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</si>
  <si>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</si>
  <si>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</si>
  <si>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</si>
  <si>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</si>
  <si>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</si>
  <si>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</si>
  <si>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</si>
  <si>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</si>
  <si>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</si>
  <si>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</si>
  <si>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</si>
  <si>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</si>
  <si>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</si>
  <si>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</si>
  <si>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</si>
  <si>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</si>
  <si>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</si>
  <si>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</si>
  <si>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</si>
  <si>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</si>
  <si>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</si>
  <si>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</si>
  <si>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</si>
  <si>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</si>
  <si>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</si>
  <si>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PATRIMONIO</t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</si>
  <si>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</si>
  <si>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</si>
  <si>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</si>
  <si>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</si>
  <si>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</si>
  <si>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</si>
  <si>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</si>
  <si>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</si>
  <si>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</si>
  <si>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</si>
  <si>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</si>
  <si>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</si>
  <si>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</si>
  <si>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</si>
  <si>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</si>
  <si>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</si>
  <si>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</si>
  <si>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</si>
  <si>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</si>
  <si>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</si>
  <si>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</si>
  <si>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</si>
  <si>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</si>
  <si>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</si>
  <si>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</si>
  <si>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</si>
  <si>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</si>
  <si>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</si>
  <si>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</si>
  <si>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</si>
  <si>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</si>
  <si>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</si>
  <si>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</si>
  <si>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</si>
  <si>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</si>
  <si>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</si>
  <si>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</si>
  <si>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</si>
  <si>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</si>
  <si>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</si>
  <si>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</si>
  <si>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</si>
  <si>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</si>
  <si>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</si>
  <si>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</si>
  <si>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</si>
  <si>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</si>
  <si>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</si>
  <si>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</si>
  <si>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</si>
  <si>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</si>
  <si>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</si>
  <si>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</si>
  <si>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</si>
  <si>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</si>
  <si>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</si>
  <si>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</si>
  <si>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</si>
  <si>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</si>
  <si>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</si>
  <si>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</si>
  <si>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</si>
  <si>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</si>
  <si>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</si>
  <si>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</si>
  <si>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</si>
  <si>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</si>
  <si>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</si>
  <si>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</si>
  <si>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</si>
  <si>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</si>
  <si>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</si>
  <si>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</si>
  <si>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</si>
  <si>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</si>
  <si>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</si>
  <si>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</si>
  <si>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</si>
  <si>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</si>
  <si>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</si>
  <si>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</si>
  <si>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</si>
  <si>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</si>
  <si>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</si>
  <si>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</si>
  <si>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</si>
  <si>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</si>
  <si>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</si>
  <si>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</si>
  <si>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</si>
  <si>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</si>
  <si>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</si>
  <si>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</si>
  <si>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</si>
  <si>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</si>
  <si>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</si>
  <si>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</si>
  <si>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</si>
  <si>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</si>
  <si>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</si>
  <si>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</si>
  <si>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</si>
  <si>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</si>
  <si>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</si>
  <si>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</si>
  <si>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</si>
  <si>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</si>
  <si>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</si>
  <si>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</si>
  <si>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</si>
  <si>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</si>
  <si>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</si>
  <si>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</si>
  <si>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</si>
  <si>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</si>
  <si>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</si>
  <si>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</si>
  <si>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</si>
  <si>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</si>
  <si>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</si>
  <si>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</si>
  <si>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</si>
  <si>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</si>
  <si>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</si>
  <si>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</si>
  <si>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</si>
  <si>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</si>
  <si>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</si>
  <si>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</si>
  <si>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</si>
  <si>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</si>
  <si>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</si>
  <si>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</si>
  <si>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</si>
  <si>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</si>
  <si>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</si>
  <si>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</si>
  <si>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</si>
  <si>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</si>
  <si>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</si>
  <si>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</si>
  <si>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</si>
  <si>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</si>
  <si>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</si>
  <si>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</si>
  <si>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</si>
  <si>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</si>
  <si>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</si>
  <si>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</si>
  <si>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</si>
  <si>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</si>
  <si>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</si>
  <si>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</si>
  <si>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</si>
  <si>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</si>
  <si>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</si>
  <si>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</si>
  <si>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</si>
  <si>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</si>
  <si>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</si>
  <si>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</si>
  <si>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</si>
  <si>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</si>
  <si>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</si>
  <si>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</si>
  <si>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</si>
  <si>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</si>
  <si>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</si>
  <si>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</si>
  <si>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</si>
  <si>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</si>
  <si>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</si>
  <si>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</si>
  <si>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</si>
  <si>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</si>
  <si>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</si>
  <si>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</si>
  <si>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</si>
  <si>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</si>
  <si>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</si>
  <si>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</si>
  <si>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</si>
  <si>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</si>
  <si>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</si>
  <si>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</si>
  <si>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</si>
  <si>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</si>
  <si>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</si>
  <si>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</si>
  <si>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</si>
  <si>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</si>
  <si>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</si>
  <si>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</si>
  <si>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</si>
  <si>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</si>
  <si>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</si>
  <si>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</si>
  <si>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</si>
  <si>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</si>
  <si>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</si>
  <si>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</si>
  <si>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</si>
  <si>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</si>
  <si>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</si>
  <si>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</si>
  <si>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</si>
  <si>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</si>
  <si>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</si>
  <si>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</si>
  <si>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</si>
  <si>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</si>
  <si>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</si>
  <si>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</si>
  <si>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</si>
  <si>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</si>
  <si>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</si>
  <si>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</si>
  <si>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</si>
  <si>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</si>
  <si>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</si>
  <si>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</si>
  <si>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</si>
  <si>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</si>
  <si>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</si>
  <si>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</si>
  <si>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</si>
  <si>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</si>
  <si>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</si>
  <si>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</si>
  <si>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</si>
  <si>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</si>
  <si>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</si>
  <si>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</si>
  <si>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</si>
  <si>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</si>
  <si>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</si>
  <si>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</si>
  <si>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</si>
  <si>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</si>
  <si>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</si>
  <si>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</si>
  <si>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</si>
  <si>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</si>
  <si>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</si>
  <si>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</si>
  <si>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</si>
  <si>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</si>
  <si>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</si>
  <si>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</si>
  <si>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</si>
  <si>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</si>
  <si>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</si>
  <si>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</si>
  <si>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</si>
  <si>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</si>
  <si>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</si>
  <si>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</si>
  <si>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</si>
  <si>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</si>
  <si>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</si>
  <si>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</si>
  <si>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</si>
  <si>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</si>
  <si>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</si>
  <si>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</si>
  <si>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</si>
  <si>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</si>
  <si>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</si>
  <si>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</si>
  <si>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</si>
  <si>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</si>
  <si>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</si>
  <si>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</si>
  <si>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</si>
  <si>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</si>
  <si>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</si>
  <si>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</si>
  <si>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</si>
  <si>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</si>
  <si>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</si>
  <si>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</si>
  <si>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</si>
  <si>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</si>
  <si>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</si>
  <si>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</si>
  <si>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</si>
  <si>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</si>
  <si>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</si>
  <si>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</si>
  <si>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</si>
  <si>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</si>
  <si>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</si>
  <si>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</si>
  <si>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</si>
  <si>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</si>
  <si>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</si>
  <si>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</si>
  <si>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</si>
  <si>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</si>
  <si>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</si>
  <si>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</si>
  <si>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</si>
  <si>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</si>
  <si>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</si>
  <si>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</si>
  <si>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</si>
  <si>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</si>
  <si>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</si>
  <si>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</si>
  <si>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</si>
  <si>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</si>
  <si>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</si>
  <si>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</si>
  <si>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</si>
  <si>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</si>
  <si>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</si>
  <si>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</si>
  <si>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</si>
  <si>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</si>
  <si>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</si>
  <si>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</si>
  <si>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</si>
  <si>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</si>
  <si>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</si>
  <si>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</si>
  <si>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</si>
  <si>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</si>
  <si>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</si>
  <si>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</si>
  <si>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</si>
  <si>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</si>
  <si>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</si>
  <si>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</si>
  <si>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</si>
  <si>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</si>
  <si>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</si>
  <si>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</si>
  <si>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</si>
  <si>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</si>
  <si>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</si>
  <si>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</si>
  <si>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</si>
  <si>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</si>
  <si>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</si>
  <si>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</si>
  <si>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</si>
  <si>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Saldo Anterior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</si>
  <si>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</si>
  <si>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</si>
  <si>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</si>
  <si>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</si>
  <si>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</si>
  <si>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</si>
  <si>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</si>
  <si>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</si>
  <si>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</si>
  <si>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</si>
  <si>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</si>
  <si>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</si>
  <si>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</si>
  <si>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</si>
  <si>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</si>
  <si>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</si>
  <si>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</si>
  <si>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</si>
  <si>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</si>
  <si>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</si>
  <si>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</si>
  <si>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</si>
  <si>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</si>
  <si>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</si>
  <si>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</si>
  <si>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</si>
  <si>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</si>
  <si>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</si>
  <si>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</si>
  <si>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</si>
  <si>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</si>
  <si>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</si>
  <si>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</si>
  <si>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</si>
  <si>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</si>
  <si>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</si>
  <si>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</si>
  <si>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</si>
  <si>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</si>
  <si>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</si>
  <si>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</si>
  <si>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</si>
  <si>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</si>
  <si>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</si>
  <si>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</si>
  <si>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</si>
  <si>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</si>
  <si>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</si>
  <si>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</si>
  <si>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</si>
  <si>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</si>
  <si>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</si>
  <si>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</si>
  <si>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</si>
  <si>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</si>
  <si>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</si>
  <si>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</si>
  <si>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</si>
  <si>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</si>
  <si>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</si>
  <si>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</si>
  <si>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</si>
  <si>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</si>
  <si>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</si>
  <si>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</si>
  <si>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</si>
  <si>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</si>
  <si>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</si>
  <si>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</si>
  <si>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</si>
  <si>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</si>
  <si>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</si>
  <si>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</si>
  <si>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</si>
  <si>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</si>
  <si>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</si>
  <si>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</si>
  <si>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</si>
  <si>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</si>
  <si>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</si>
  <si>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</si>
  <si>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</si>
  <si>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</si>
  <si>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</si>
  <si>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</si>
  <si>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</si>
  <si>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</si>
  <si>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</si>
  <si>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</si>
  <si>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</si>
  <si>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</si>
  <si>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</si>
  <si>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</si>
  <si>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Dr. Alfredo Cuecuecha Mendoza</t>
  </si>
  <si>
    <t>Presidente de la Junta de Gobierno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</si>
  <si>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</si>
  <si>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</si>
  <si>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</si>
  <si>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</si>
  <si>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</si>
  <si>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</si>
  <si>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</si>
  <si>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</si>
  <si>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</si>
  <si>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</si>
  <si>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</si>
  <si>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</si>
  <si>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</si>
  <si>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</si>
  <si>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</si>
  <si>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</si>
  <si>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</si>
  <si>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</si>
  <si>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</si>
  <si>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</si>
  <si>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</si>
  <si>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</si>
  <si>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</si>
  <si>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</si>
  <si>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</si>
  <si>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</si>
  <si>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</si>
  <si>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</si>
  <si>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</si>
  <si>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</si>
  <si>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</si>
  <si>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</si>
  <si>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</si>
  <si>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</si>
  <si>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</si>
  <si>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</si>
  <si>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</si>
  <si>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</si>
  <si>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</si>
  <si>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</si>
  <si>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</si>
  <si>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</si>
  <si>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</si>
  <si>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</si>
  <si>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</si>
  <si>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</si>
  <si>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</si>
  <si>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</si>
  <si>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</si>
  <si>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</si>
  <si>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</si>
  <si>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</si>
  <si>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</si>
  <si>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</si>
  <si>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</si>
  <si>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</si>
  <si>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</si>
  <si>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</si>
  <si>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</si>
  <si>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</si>
  <si>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</si>
  <si>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</si>
  <si>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</si>
  <si>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</si>
  <si>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</si>
  <si>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</si>
  <si>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</si>
  <si>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</si>
  <si>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</si>
  <si>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</si>
  <si>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</si>
  <si>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</si>
  <si>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</si>
  <si>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</si>
  <si>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</si>
  <si>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</si>
  <si>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</si>
  <si>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</si>
  <si>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</si>
  <si>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</si>
  <si>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</si>
  <si>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</si>
  <si>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</si>
  <si>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</si>
  <si>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</si>
  <si>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</si>
  <si>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</si>
  <si>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</si>
  <si>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</si>
  <si>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</si>
  <si>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</si>
  <si>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</si>
  <si>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</si>
  <si>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</si>
  <si>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</si>
  <si>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</si>
  <si>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</si>
  <si>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</si>
  <si>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</si>
  <si>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</si>
  <si>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</si>
  <si>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</si>
  <si>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</si>
  <si>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</si>
  <si>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</si>
  <si>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</si>
  <si>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</si>
  <si>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</si>
  <si>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</si>
  <si>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</si>
  <si>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</si>
  <si>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</si>
  <si>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</si>
  <si>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</si>
  <si>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</si>
  <si>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</si>
  <si>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</si>
  <si>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</si>
  <si>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</si>
  <si>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</si>
  <si>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</si>
  <si>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</si>
  <si>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</si>
  <si>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</si>
  <si>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</si>
  <si>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</si>
  <si>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</si>
  <si>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</si>
  <si>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</si>
  <si>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</si>
  <si>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</si>
  <si>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</si>
  <si>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</si>
  <si>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</si>
  <si>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</si>
  <si>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</si>
  <si>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</si>
  <si>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</si>
  <si>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C.P. José Santiago Ortega Vega</t>
  </si>
  <si>
    <t>Director Administrativo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</si>
  <si>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</si>
  <si>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</si>
  <si>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</si>
  <si>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</si>
  <si>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</si>
  <si>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</si>
  <si>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</si>
  <si>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</si>
  <si>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</si>
  <si>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ip</t>
  </si>
  <si>
    <t>inversion</t>
  </si>
  <si>
    <t>secoduvi</t>
  </si>
  <si>
    <t>convenios secoduvi</t>
  </si>
  <si>
    <t>Cuenta Pública 2016</t>
  </si>
  <si>
    <t>Enero marzo</t>
  </si>
  <si>
    <t>Abril</t>
  </si>
  <si>
    <t>Mayo</t>
  </si>
  <si>
    <t>Junio</t>
  </si>
  <si>
    <t>Saraid espino Téllez</t>
  </si>
  <si>
    <t>México Red de Telecomunicaciones, S. de R. L. de C.V.</t>
  </si>
  <si>
    <t>diplomado armonizacion</t>
  </si>
  <si>
    <t>pronapred 2106</t>
  </si>
  <si>
    <t>Andres María Ramírez</t>
  </si>
  <si>
    <t>Nissan TIIDA 2016</t>
  </si>
  <si>
    <t>Honda City</t>
  </si>
  <si>
    <t>Switch 48 y 24 puertos</t>
  </si>
  <si>
    <t>Héctor Ruíz León</t>
  </si>
  <si>
    <t>armonizacion</t>
  </si>
  <si>
    <t>pronapred 2016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</si>
  <si>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</si>
  <si>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</si>
  <si>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</si>
  <si>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</si>
  <si>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</si>
  <si>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</si>
  <si>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</si>
  <si>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</si>
  <si>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</si>
  <si>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</si>
  <si>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</si>
  <si>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</si>
  <si>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</si>
  <si>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</si>
  <si>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</si>
  <si>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</si>
  <si>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</si>
  <si>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</si>
  <si>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</si>
  <si>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</si>
  <si>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</si>
  <si>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</si>
  <si>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</si>
  <si>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</si>
  <si>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</si>
  <si>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</si>
  <si>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</si>
  <si>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</si>
  <si>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</si>
  <si>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</si>
  <si>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</si>
  <si>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</si>
  <si>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</si>
  <si>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</si>
  <si>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</si>
  <si>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</si>
  <si>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</si>
  <si>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</si>
  <si>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</si>
  <si>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</si>
  <si>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</si>
  <si>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</si>
  <si>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</si>
  <si>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</si>
  <si>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</si>
  <si>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</si>
  <si>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</si>
  <si>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</si>
  <si>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</si>
  <si>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</si>
  <si>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</si>
  <si>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</si>
  <si>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</si>
  <si>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</si>
  <si>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</si>
  <si>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</si>
  <si>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</si>
  <si>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</si>
  <si>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</si>
  <si>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</si>
  <si>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</si>
  <si>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</si>
  <si>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</si>
  <si>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</si>
  <si>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</si>
  <si>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</si>
  <si>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</si>
  <si>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</si>
  <si>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</si>
  <si>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</si>
  <si>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</si>
  <si>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</si>
  <si>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</si>
  <si>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</si>
  <si>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</si>
  <si>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</si>
  <si>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</si>
  <si>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</si>
  <si>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</si>
  <si>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</si>
  <si>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</si>
  <si>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</si>
  <si>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</si>
  <si>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</si>
  <si>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</si>
  <si>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</si>
  <si>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</si>
  <si>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</si>
  <si>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</si>
  <si>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</si>
  <si>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</si>
  <si>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</si>
  <si>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</si>
  <si>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</si>
  <si>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</si>
  <si>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</si>
  <si>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</si>
  <si>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</si>
  <si>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</si>
  <si>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</si>
  <si>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</si>
  <si>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</si>
  <si>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</si>
  <si>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</si>
  <si>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</si>
  <si>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</si>
  <si>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</si>
  <si>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</si>
  <si>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</si>
  <si>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</si>
  <si>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</si>
  <si>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</si>
  <si>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</si>
  <si>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</si>
  <si>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</si>
  <si>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</si>
  <si>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</si>
  <si>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</si>
  <si>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</si>
  <si>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</si>
  <si>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</si>
  <si>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</si>
  <si>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</si>
  <si>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</si>
  <si>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</si>
  <si>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</si>
  <si>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</si>
  <si>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</si>
  <si>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</si>
  <si>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</si>
  <si>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</si>
  <si>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</si>
  <si>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</si>
  <si>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</si>
  <si>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</si>
  <si>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</si>
  <si>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</si>
  <si>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</si>
  <si>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</si>
  <si>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</si>
  <si>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</si>
  <si>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</si>
  <si>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</si>
  <si>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</si>
  <si>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</si>
  <si>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</si>
  <si>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</si>
  <si>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</si>
  <si>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</si>
  <si>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</si>
  <si>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</si>
  <si>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</si>
  <si>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</si>
  <si>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</si>
  <si>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</si>
  <si>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</si>
  <si>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</si>
  <si>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</si>
  <si>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</si>
  <si>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</si>
  <si>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</si>
  <si>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</si>
  <si>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</si>
  <si>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</si>
  <si>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</si>
  <si>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</si>
  <si>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</si>
  <si>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</si>
  <si>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</si>
  <si>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</si>
  <si>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</si>
  <si>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</si>
  <si>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</si>
  <si>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</si>
  <si>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</si>
  <si>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</si>
  <si>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</si>
  <si>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</si>
  <si>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</si>
  <si>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</si>
  <si>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</si>
  <si>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</si>
  <si>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</si>
  <si>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</si>
  <si>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</si>
  <si>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</si>
  <si>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</si>
  <si>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</si>
  <si>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</si>
  <si>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</si>
  <si>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</si>
  <si>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</si>
  <si>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</si>
  <si>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</si>
  <si>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</si>
  <si>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</si>
  <si>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</si>
  <si>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</si>
  <si>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</si>
  <si>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</si>
  <si>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</si>
  <si>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</si>
  <si>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</si>
  <si>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</si>
  <si>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</si>
  <si>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</si>
  <si>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</si>
  <si>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</si>
  <si>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</si>
  <si>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</si>
  <si>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</si>
  <si>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</si>
  <si>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</si>
  <si>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</si>
  <si>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</si>
  <si>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</si>
  <si>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</si>
  <si>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</si>
  <si>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</si>
  <si>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</si>
  <si>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</si>
  <si>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</si>
  <si>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</si>
  <si>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</si>
  <si>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</si>
  <si>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</si>
  <si>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</si>
  <si>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</si>
  <si>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</si>
  <si>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</si>
  <si>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</si>
  <si>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</si>
  <si>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</si>
  <si>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</si>
  <si>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</si>
  <si>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</si>
  <si>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</si>
  <si>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</si>
  <si>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</si>
  <si>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</si>
  <si>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</si>
  <si>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</si>
  <si>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</si>
  <si>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</si>
  <si>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</si>
  <si>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</si>
  <si>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</si>
  <si>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</si>
  <si>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</si>
  <si>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</si>
  <si>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</si>
  <si>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</si>
  <si>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</si>
  <si>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</si>
  <si>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</si>
  <si>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</si>
  <si>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</si>
  <si>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</si>
  <si>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</si>
  <si>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</si>
  <si>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</si>
  <si>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</si>
  <si>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</si>
  <si>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</si>
  <si>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</si>
  <si>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</si>
  <si>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</si>
  <si>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</si>
  <si>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</si>
  <si>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</si>
  <si>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</si>
  <si>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</si>
  <si>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</si>
  <si>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</si>
  <si>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</si>
  <si>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</si>
  <si>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</si>
  <si>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</si>
  <si>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</si>
  <si>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</si>
  <si>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</si>
  <si>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</si>
  <si>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</si>
  <si>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</si>
  <si>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</si>
  <si>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</si>
  <si>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</si>
  <si>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</si>
  <si>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</si>
  <si>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</si>
  <si>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</si>
  <si>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</si>
  <si>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</si>
  <si>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</si>
  <si>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</si>
  <si>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</si>
  <si>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</si>
  <si>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</si>
  <si>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</si>
  <si>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</si>
  <si>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</si>
  <si>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</si>
  <si>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</si>
  <si>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</si>
  <si>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</si>
  <si>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</si>
  <si>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</si>
  <si>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</si>
  <si>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</si>
  <si>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</si>
  <si>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</si>
  <si>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</si>
  <si>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</si>
  <si>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</si>
  <si>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</si>
  <si>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</si>
  <si>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</si>
  <si>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</si>
  <si>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</si>
  <si>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</si>
  <si>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</si>
  <si>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</si>
  <si>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</si>
  <si>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</si>
  <si>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</si>
  <si>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</si>
  <si>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</si>
  <si>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</si>
  <si>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</si>
  <si>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</si>
  <si>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</si>
  <si>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</si>
  <si>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</si>
  <si>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</si>
  <si>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</si>
  <si>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</si>
  <si>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</si>
  <si>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</si>
  <si>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</si>
  <si>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</si>
  <si>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</si>
  <si>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</si>
  <si>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</si>
  <si>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</si>
  <si>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</si>
  <si>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</si>
  <si>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</si>
  <si>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</si>
  <si>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</si>
  <si>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</si>
  <si>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</si>
  <si>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</si>
  <si>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</si>
  <si>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</si>
  <si>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</si>
  <si>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</si>
  <si>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</si>
  <si>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</si>
  <si>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</si>
  <si>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</si>
  <si>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</si>
  <si>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</si>
  <si>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</si>
  <si>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</si>
  <si>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</si>
  <si>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</si>
  <si>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</si>
  <si>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</si>
  <si>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</si>
  <si>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</si>
  <si>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</si>
  <si>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</si>
  <si>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</si>
  <si>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</si>
  <si>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</si>
  <si>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</si>
  <si>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</si>
  <si>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</si>
  <si>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</si>
  <si>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</si>
  <si>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</si>
  <si>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</si>
  <si>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</si>
  <si>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</si>
  <si>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</si>
  <si>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</si>
  <si>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</si>
  <si>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</si>
  <si>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</si>
  <si>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</si>
  <si>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</si>
  <si>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</si>
  <si>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</si>
  <si>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</si>
  <si>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</si>
  <si>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</si>
  <si>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</si>
  <si>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</si>
  <si>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</si>
  <si>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</si>
  <si>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</si>
  <si>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</si>
  <si>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</si>
  <si>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</si>
  <si>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</si>
  <si>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Se refiere al valor del Bono Cupón Cero que respalda el pago de los créditos asociados al mismo (Activo)</t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</si>
  <si>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</si>
  <si>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</si>
  <si>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</si>
  <si>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</si>
  <si>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</si>
  <si>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</si>
  <si>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</si>
  <si>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</si>
  <si>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</si>
  <si>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</si>
  <si>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</si>
  <si>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</si>
  <si>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</si>
  <si>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</si>
  <si>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</si>
  <si>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</si>
  <si>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</si>
  <si>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</si>
  <si>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</si>
  <si>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</si>
  <si>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</si>
  <si>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</si>
  <si>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</si>
  <si>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</si>
  <si>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</si>
  <si>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</si>
  <si>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</si>
  <si>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</si>
  <si>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</si>
  <si>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</si>
  <si>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</si>
  <si>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</si>
  <si>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>Julio Septiembre</t>
  </si>
  <si>
    <t>Bancomer 0199663282 CONVENIOS COLTLAX</t>
  </si>
  <si>
    <t>Subsidio gubernamental</t>
  </si>
  <si>
    <t>Impuestos y Derechos</t>
  </si>
  <si>
    <t>2016 (d)</t>
  </si>
  <si>
    <t>31 de diciembre de 2015-1 ( e )</t>
  </si>
  <si>
    <t>C.P. JOSÉ SANTIAGO ORTEGA VEGA</t>
  </si>
  <si>
    <t>DIRECTOR ADMINISTRATIVO</t>
  </si>
  <si>
    <t>DR. ALFREDO CUECUECHA MENDOZA</t>
  </si>
  <si>
    <t>PRESIDENTE DE LA JUNTA DE GOBIERNO</t>
  </si>
  <si>
    <t>C.P. JOSE SANTIAGO ORTEGA VEGA</t>
  </si>
  <si>
    <t>Octubre - Diciembre</t>
  </si>
  <si>
    <t>Prott</t>
  </si>
  <si>
    <t>Carmen Cahuantzi Robles</t>
  </si>
  <si>
    <t xml:space="preserve">         </t>
  </si>
  <si>
    <t>al 31 de diciembre de 2015-1 (d)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</si>
  <si>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</si>
  <si>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</si>
  <si>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</si>
  <si>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Del 1° de enero al 31 de diciembre de 2016 y del 01 de enero al 31 de diciembre de 2015</t>
  </si>
  <si>
    <t>Del 1 de enero al 31 de diciembre de 2016</t>
  </si>
  <si>
    <t>Al 31 de diciembre de 2015-1 y al 31 de diciembre de 2016 (b) (PESOS)</t>
  </si>
  <si>
    <t>Del 1 de enero al 31 de diciembre de 2016 (b)</t>
  </si>
  <si>
    <t>Del 1 de enero Al 31 de diciembre de 2016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</si>
</sst>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i/>
      <sz val="9"/>
      <color theme="1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7" fillId="0" borderId="0"/>
    <xf numFmtId="0" fontId="30" fillId="0" borderId="0" applyNumberFormat="0" applyFill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1">
    <xf numFmtId="0" fontId="0" fillId="0" borderId="0" xfId="0"/>
    <xf numFmtId="0" fontId="25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9" fillId="0" borderId="0" xfId="0" applyFont="1" applyAlignment="1">
      <alignment horizontal="justify" vertical="center"/>
    </xf>
    <xf numFmtId="166" fontId="24" fillId="0" borderId="0" xfId="45" applyNumberFormat="1" applyFont="1"/>
    <xf numFmtId="166" fontId="28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9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8" fillId="33" borderId="0" xfId="0" applyFont="1" applyFill="1" applyAlignment="1">
      <alignment horizontal="justify" vertical="center"/>
    </xf>
    <xf numFmtId="0" fontId="24" fillId="0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166" fontId="26" fillId="33" borderId="0" xfId="45" applyNumberFormat="1" applyFont="1" applyFill="1"/>
    <xf numFmtId="0" fontId="29" fillId="0" borderId="0" xfId="0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1" fillId="0" borderId="0" xfId="0" applyFont="1" applyAlignment="1">
      <alignment horizontal="justify" vertical="center"/>
    </xf>
    <xf numFmtId="166" fontId="28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16" fillId="0" borderId="0" xfId="0" applyFont="1"/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3" fillId="0" borderId="0" xfId="0" applyFont="1" applyBorder="1"/>
    <xf numFmtId="166" fontId="23" fillId="0" borderId="0" xfId="45" applyNumberFormat="1" applyFont="1" applyBorder="1" applyAlignment="1">
      <alignment horizontal="right"/>
    </xf>
    <xf numFmtId="43" fontId="24" fillId="0" borderId="0" xfId="0" applyNumberFormat="1" applyFont="1"/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7" fillId="0" borderId="0" xfId="49" applyFont="1" applyAlignment="1">
      <alignment horizontal="justify" vertical="center"/>
    </xf>
    <xf numFmtId="0" fontId="28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166" fontId="24" fillId="0" borderId="0" xfId="0" applyNumberFormat="1" applyFont="1"/>
    <xf numFmtId="0" fontId="38" fillId="37" borderId="19" xfId="46" applyFont="1" applyFill="1" applyBorder="1" applyAlignment="1">
      <alignment vertical="center"/>
    </xf>
    <xf numFmtId="0" fontId="38" fillId="37" borderId="20" xfId="46" applyFont="1" applyFill="1" applyBorder="1" applyAlignment="1">
      <alignment vertical="center"/>
    </xf>
    <xf numFmtId="0" fontId="38" fillId="37" borderId="21" xfId="46" applyFont="1" applyFill="1" applyBorder="1" applyAlignment="1">
      <alignment vertical="center"/>
    </xf>
    <xf numFmtId="0" fontId="38" fillId="37" borderId="0" xfId="46" applyFont="1" applyFill="1" applyAlignment="1">
      <alignment vertical="center"/>
    </xf>
    <xf numFmtId="0" fontId="38" fillId="37" borderId="22" xfId="46" applyFont="1" applyFill="1" applyBorder="1" applyAlignment="1">
      <alignment vertical="center"/>
    </xf>
    <xf numFmtId="0" fontId="39" fillId="37" borderId="0" xfId="46" applyFont="1" applyFill="1" applyBorder="1" applyAlignment="1">
      <alignment vertical="center"/>
    </xf>
    <xf numFmtId="0" fontId="38" fillId="37" borderId="0" xfId="46" applyFont="1" applyFill="1" applyBorder="1" applyAlignment="1">
      <alignment vertical="center"/>
    </xf>
    <xf numFmtId="0" fontId="38" fillId="37" borderId="23" xfId="46" applyFont="1" applyFill="1" applyBorder="1" applyAlignment="1">
      <alignment vertical="center"/>
    </xf>
    <xf numFmtId="0" fontId="38" fillId="37" borderId="24" xfId="46" applyFont="1" applyFill="1" applyBorder="1" applyAlignment="1">
      <alignment vertical="center"/>
    </xf>
    <xf numFmtId="0" fontId="38" fillId="37" borderId="25" xfId="46" applyFont="1" applyFill="1" applyBorder="1" applyAlignment="1">
      <alignment vertical="center"/>
    </xf>
    <xf numFmtId="0" fontId="38" fillId="37" borderId="26" xfId="46" applyFont="1" applyFill="1" applyBorder="1" applyAlignment="1">
      <alignment vertical="center"/>
    </xf>
    <xf numFmtId="0" fontId="40" fillId="37" borderId="27" xfId="46" applyFont="1" applyFill="1" applyBorder="1" applyAlignment="1">
      <alignment vertical="center"/>
    </xf>
    <xf numFmtId="0" fontId="20" fillId="37" borderId="28" xfId="46" applyFont="1" applyFill="1" applyBorder="1" applyAlignment="1">
      <alignment vertical="center"/>
    </xf>
    <xf numFmtId="0" fontId="20" fillId="37" borderId="29" xfId="46" applyFont="1" applyFill="1" applyBorder="1" applyAlignment="1">
      <alignment vertical="center"/>
    </xf>
    <xf numFmtId="0" fontId="20" fillId="37" borderId="0" xfId="46" applyFont="1" applyFill="1" applyAlignment="1">
      <alignment vertical="center"/>
    </xf>
    <xf numFmtId="0" fontId="20" fillId="37" borderId="25" xfId="46" applyFont="1" applyFill="1" applyBorder="1" applyAlignment="1">
      <alignment vertical="center"/>
    </xf>
    <xf numFmtId="0" fontId="20" fillId="37" borderId="26" xfId="46" applyFont="1" applyFill="1" applyBorder="1" applyAlignment="1">
      <alignment vertical="center"/>
    </xf>
    <xf numFmtId="0" fontId="40" fillId="37" borderId="30" xfId="46" applyFont="1" applyFill="1" applyBorder="1" applyAlignment="1">
      <alignment horizontal="center" vertical="center"/>
    </xf>
    <xf numFmtId="0" fontId="40" fillId="37" borderId="30" xfId="46" applyFont="1" applyFill="1" applyBorder="1" applyAlignment="1">
      <alignment horizontal="center" vertical="center" wrapText="1"/>
    </xf>
    <xf numFmtId="0" fontId="20" fillId="37" borderId="0" xfId="46" applyFont="1" applyFill="1" applyBorder="1" applyAlignment="1">
      <alignment vertical="center" wrapText="1"/>
    </xf>
    <xf numFmtId="4" fontId="20" fillId="37" borderId="0" xfId="46" applyNumberFormat="1" applyFont="1" applyFill="1" applyBorder="1" applyAlignment="1">
      <alignment vertical="center" wrapText="1"/>
    </xf>
    <xf numFmtId="0" fontId="38" fillId="37" borderId="0" xfId="46" applyFont="1" applyFill="1" applyAlignment="1">
      <alignment vertical="center" wrapText="1"/>
    </xf>
    <xf numFmtId="0" fontId="35" fillId="0" borderId="31" xfId="46" applyFont="1" applyFill="1" applyBorder="1" applyAlignment="1">
      <alignment horizontal="center" vertical="center"/>
    </xf>
    <xf numFmtId="4" fontId="20" fillId="37" borderId="30" xfId="46" applyNumberFormat="1" applyFon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5" fillId="0" borderId="27" xfId="46" applyFont="1" applyFill="1" applyBorder="1" applyAlignment="1">
      <alignment vertical="center"/>
    </xf>
    <xf numFmtId="0" fontId="35" fillId="0" borderId="27" xfId="46" applyFont="1" applyFill="1" applyBorder="1" applyAlignment="1">
      <alignment horizontal="center" vertical="center"/>
    </xf>
    <xf numFmtId="0" fontId="35" fillId="0" borderId="22" xfId="46" applyFont="1" applyFill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40" fillId="37" borderId="0" xfId="46" applyFont="1" applyFill="1" applyBorder="1" applyAlignment="1">
      <alignment horizontal="center" vertical="justify" wrapText="1"/>
    </xf>
    <xf numFmtId="43" fontId="20" fillId="37" borderId="0" xfId="46" applyNumberFormat="1" applyFont="1" applyFill="1" applyBorder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ont="1" applyFill="1" applyAlignment="1">
      <alignment vertical="center" wrapText="1"/>
    </xf>
    <xf numFmtId="0" fontId="20" fillId="37" borderId="0" xfId="46" applyFont="1" applyFill="1" applyBorder="1" applyAlignment="1">
      <alignment horizontal="justify" vertical="center" wrapText="1"/>
    </xf>
    <xf numFmtId="0" fontId="38" fillId="37" borderId="0" xfId="46" applyFont="1" applyFill="1" applyBorder="1" applyAlignment="1">
      <alignment vertical="center" wrapText="1"/>
    </xf>
    <xf numFmtId="0" fontId="39" fillId="37" borderId="27" xfId="46" applyFont="1" applyFill="1" applyBorder="1" applyAlignment="1">
      <alignment vertical="center"/>
    </xf>
    <xf numFmtId="0" fontId="38" fillId="37" borderId="28" xfId="46" applyFont="1" applyFill="1" applyBorder="1" applyAlignment="1">
      <alignment vertical="center"/>
    </xf>
    <xf numFmtId="0" fontId="38" fillId="37" borderId="29" xfId="46" applyFont="1" applyFill="1" applyBorder="1" applyAlignment="1">
      <alignment vertical="center"/>
    </xf>
    <xf numFmtId="49" fontId="39" fillId="37" borderId="27" xfId="46" applyNumberFormat="1" applyFont="1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4" fontId="38" fillId="37" borderId="0" xfId="46" applyNumberFormat="1" applyFont="1" applyFill="1" applyBorder="1" applyAlignment="1">
      <alignment vertical="center" wrapText="1"/>
    </xf>
    <xf numFmtId="4" fontId="39" fillId="37" borderId="0" xfId="46" applyNumberFormat="1" applyFont="1" applyFill="1" applyBorder="1" applyAlignment="1">
      <alignment vertical="center" wrapText="1"/>
    </xf>
    <xf numFmtId="0" fontId="34" fillId="0" borderId="32" xfId="46" applyFont="1" applyFill="1" applyBorder="1" applyAlignment="1">
      <alignment horizontal="center" vertical="center"/>
    </xf>
    <xf numFmtId="4" fontId="38" fillId="37" borderId="30" xfId="46" applyNumberFormat="1" applyFont="1" applyFill="1" applyBorder="1" applyAlignment="1">
      <alignment horizontal="right" vertical="center" wrapText="1"/>
    </xf>
    <xf numFmtId="4" fontId="38" fillId="37" borderId="30" xfId="52" applyNumberFormat="1" applyFont="1" applyFill="1" applyBorder="1" applyAlignment="1">
      <alignment horizontal="right" vertical="center" wrapText="1"/>
    </xf>
    <xf numFmtId="0" fontId="34" fillId="0" borderId="0" xfId="46" applyFont="1" applyFill="1" applyBorder="1" applyAlignment="1">
      <alignment horizontal="center" vertical="center"/>
    </xf>
    <xf numFmtId="0" fontId="41" fillId="0" borderId="0" xfId="46" applyFont="1" applyFill="1" applyBorder="1" applyAlignment="1">
      <alignment horizontal="justify" vertical="center"/>
    </xf>
    <xf numFmtId="0" fontId="41" fillId="0" borderId="23" xfId="46" applyFont="1" applyFill="1" applyBorder="1" applyAlignment="1">
      <alignment horizontal="justify" vertical="center"/>
    </xf>
    <xf numFmtId="4" fontId="39" fillId="37" borderId="30" xfId="52" applyNumberFormat="1" applyFont="1" applyFill="1" applyBorder="1" applyAlignment="1">
      <alignment horizontal="right" vertical="center" wrapText="1"/>
    </xf>
    <xf numFmtId="0" fontId="34" fillId="0" borderId="0" xfId="46" applyNumberFormat="1" applyFont="1" applyFill="1" applyBorder="1" applyAlignment="1">
      <alignment horizontal="center" vertical="center" wrapText="1"/>
    </xf>
    <xf numFmtId="0" fontId="41" fillId="0" borderId="0" xfId="46" applyFont="1" applyFill="1" applyBorder="1" applyAlignment="1">
      <alignment horizontal="justify" vertical="center" wrapText="1"/>
    </xf>
    <xf numFmtId="0" fontId="41" fillId="0" borderId="23" xfId="46" applyFont="1" applyFill="1" applyBorder="1" applyAlignment="1">
      <alignment horizontal="justify" vertical="center" wrapText="1"/>
    </xf>
    <xf numFmtId="0" fontId="34" fillId="0" borderId="24" xfId="46" applyNumberFormat="1" applyFont="1" applyFill="1" applyBorder="1" applyAlignment="1">
      <alignment horizontal="center" vertical="center" wrapText="1"/>
    </xf>
    <xf numFmtId="43" fontId="38" fillId="37" borderId="0" xfId="52" applyFont="1" applyFill="1" applyBorder="1" applyAlignment="1">
      <alignment vertical="center" wrapText="1"/>
    </xf>
    <xf numFmtId="167" fontId="38" fillId="37" borderId="30" xfId="52" applyNumberFormat="1" applyFont="1" applyFill="1" applyBorder="1" applyAlignment="1">
      <alignment horizontal="right" vertical="center" wrapText="1"/>
    </xf>
    <xf numFmtId="0" fontId="39" fillId="37" borderId="0" xfId="46" applyFont="1" applyFill="1" applyBorder="1" applyAlignment="1">
      <alignment horizontal="center" vertical="justify" wrapText="1"/>
    </xf>
    <xf numFmtId="43" fontId="38" fillId="37" borderId="0" xfId="46" applyNumberFormat="1" applyFont="1" applyFill="1" applyBorder="1" applyAlignment="1">
      <alignment horizontal="justify" vertical="center" wrapText="1"/>
    </xf>
    <xf numFmtId="167" fontId="38" fillId="37" borderId="0" xfId="52" applyNumberFormat="1" applyFont="1" applyFill="1" applyBorder="1" applyAlignment="1">
      <alignment horizontal="right" vertical="center" wrapText="1"/>
    </xf>
    <xf numFmtId="0" fontId="38" fillId="37" borderId="0" xfId="46" applyFont="1" applyFill="1" applyBorder="1" applyAlignment="1">
      <alignment horizontal="justify" vertical="center" wrapText="1"/>
    </xf>
    <xf numFmtId="0" fontId="24" fillId="0" borderId="0" xfId="0" applyFont="1" applyAlignment="1">
      <alignment horizontal="center"/>
    </xf>
    <xf numFmtId="166" fontId="24" fillId="0" borderId="0" xfId="45" applyNumberFormat="1" applyFont="1" applyAlignment="1">
      <alignment horizontal="center" vertical="center"/>
    </xf>
    <xf numFmtId="166" fontId="42" fillId="0" borderId="0" xfId="0" applyNumberFormat="1" applyFont="1" applyAlignment="1">
      <alignment horizontal="justify" vertic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justify" vertical="center"/>
    </xf>
    <xf numFmtId="166" fontId="24" fillId="0" borderId="0" xfId="45" applyNumberFormat="1" applyFont="1" applyAlignment="1">
      <alignment vertical="center"/>
    </xf>
    <xf numFmtId="0" fontId="43" fillId="0" borderId="0" xfId="0" applyFont="1" applyBorder="1" applyAlignment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8" fillId="0" borderId="16" xfId="0" applyFont="1" applyBorder="1" applyAlignment="1">
      <alignment horizontal="left" vertical="center"/>
    </xf>
    <xf numFmtId="0" fontId="48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43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0" fontId="0" fillId="0" borderId="0" xfId="0" applyBorder="1" applyAlignment="1"/>
    <xf numFmtId="0" fontId="0" fillId="0" borderId="15" xfId="0" applyBorder="1" applyAlignment="1"/>
    <xf numFmtId="0" fontId="0" fillId="0" borderId="14" xfId="0" applyBorder="1" applyAlignment="1"/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18" fillId="0" borderId="0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47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37" xfId="0" applyNumberFormat="1" applyFont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18" fillId="0" borderId="15" xfId="0" applyNumberFormat="1" applyFont="1" applyFill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6" fillId="0" borderId="37" xfId="0" applyFont="1" applyBorder="1" applyAlignment="1">
      <alignment horizontal="left" vertical="center"/>
    </xf>
    <xf numFmtId="166" fontId="36" fillId="0" borderId="15" xfId="0" applyNumberFormat="1" applyFont="1" applyBorder="1" applyAlignment="1">
      <alignment horizontal="right" vertical="center"/>
    </xf>
    <xf numFmtId="166" fontId="36" fillId="0" borderId="15" xfId="0" applyNumberFormat="1" applyFont="1" applyFill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 indent="2"/>
    </xf>
    <xf numFmtId="0" fontId="45" fillId="0" borderId="0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justify" vertical="center" wrapText="1"/>
    </xf>
    <xf numFmtId="43" fontId="47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7" fillId="0" borderId="37" xfId="45" applyFont="1" applyFill="1" applyBorder="1" applyAlignment="1">
      <alignment horizontal="justify" vertical="center" wrapText="1"/>
    </xf>
    <xf numFmtId="43" fontId="47" fillId="0" borderId="18" xfId="45" applyFont="1" applyFill="1" applyBorder="1" applyAlignment="1">
      <alignment horizontal="justify" vertical="center" wrapText="1"/>
    </xf>
    <xf numFmtId="166" fontId="18" fillId="0" borderId="15" xfId="45" applyNumberFormat="1" applyFont="1" applyFill="1" applyBorder="1" applyAlignment="1">
      <alignment horizontal="justify" vertical="center" wrapText="1"/>
    </xf>
    <xf numFmtId="166" fontId="21" fillId="0" borderId="15" xfId="45" applyNumberFormat="1" applyFont="1" applyFill="1" applyBorder="1" applyAlignment="1">
      <alignment horizontal="justify" vertical="center" wrapText="1"/>
    </xf>
    <xf numFmtId="43" fontId="46" fillId="0" borderId="15" xfId="45" applyFont="1" applyBorder="1" applyAlignment="1">
      <alignment horizontal="justify" vertical="center" wrapText="1"/>
    </xf>
    <xf numFmtId="43" fontId="46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5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/>
    </xf>
    <xf numFmtId="166" fontId="21" fillId="0" borderId="37" xfId="0" applyNumberFormat="1" applyFont="1" applyFill="1" applyBorder="1" applyAlignment="1">
      <alignment horizontal="center" vertical="center"/>
    </xf>
    <xf numFmtId="166" fontId="21" fillId="0" borderId="15" xfId="0" applyNumberFormat="1" applyFont="1" applyFill="1" applyBorder="1" applyAlignment="1">
      <alignment horizontal="right" vertical="center" wrapText="1"/>
    </xf>
    <xf numFmtId="166" fontId="21" fillId="0" borderId="15" xfId="0" applyNumberFormat="1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 wrapText="1"/>
    </xf>
    <xf numFmtId="166" fontId="21" fillId="0" borderId="37" xfId="0" applyNumberFormat="1" applyFont="1" applyFill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35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right" vertic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21" fillId="0" borderId="15" xfId="0" applyNumberFormat="1" applyFont="1" applyFill="1" applyBorder="1" applyAlignment="1">
      <alignment horizontal="center" vertical="center" wrapText="1"/>
    </xf>
    <xf numFmtId="166" fontId="36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2" fillId="0" borderId="0" xfId="0" applyFont="1"/>
    <xf numFmtId="0" fontId="21" fillId="0" borderId="0" xfId="0" applyFont="1" applyAlignment="1">
      <alignment horizontal="center"/>
    </xf>
    <xf numFmtId="0" fontId="25" fillId="0" borderId="0" xfId="0" applyFont="1"/>
    <xf numFmtId="1" fontId="36" fillId="0" borderId="37" xfId="0" applyNumberFormat="1" applyFont="1" applyBorder="1" applyAlignment="1">
      <alignment horizontal="right" vertical="center"/>
    </xf>
    <xf numFmtId="1" fontId="36" fillId="0" borderId="15" xfId="0" applyNumberFormat="1" applyFont="1" applyBorder="1" applyAlignment="1">
      <alignment horizontal="right" vertical="center"/>
    </xf>
    <xf numFmtId="1" fontId="36" fillId="0" borderId="15" xfId="0" applyNumberFormat="1" applyFont="1" applyFill="1" applyBorder="1" applyAlignment="1">
      <alignment horizontal="right" vertical="center"/>
    </xf>
    <xf numFmtId="1" fontId="21" fillId="0" borderId="15" xfId="0" applyNumberFormat="1" applyFont="1" applyFill="1" applyBorder="1" applyAlignment="1">
      <alignment horizontal="right" vertical="center" wrapText="1"/>
    </xf>
    <xf numFmtId="166" fontId="32" fillId="0" borderId="15" xfId="0" applyNumberFormat="1" applyFont="1" applyBorder="1" applyAlignment="1">
      <alignment horizontal="center" vertical="center"/>
    </xf>
    <xf numFmtId="166" fontId="36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Fill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21" fillId="0" borderId="37" xfId="45" applyNumberFormat="1" applyFont="1" applyBorder="1" applyAlignment="1">
      <alignment horizontal="right" vertical="center"/>
    </xf>
    <xf numFmtId="166" fontId="18" fillId="0" borderId="37" xfId="45" applyNumberFormat="1" applyFont="1" applyBorder="1" applyAlignment="1">
      <alignment horizontal="right" vertical="center"/>
    </xf>
    <xf numFmtId="166" fontId="21" fillId="0" borderId="15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9" fillId="36" borderId="0" xfId="0" applyFont="1" applyFill="1" applyAlignment="1">
      <alignment horizontal="justify" vertical="center"/>
    </xf>
    <xf numFmtId="0" fontId="29" fillId="35" borderId="0" xfId="0" applyFont="1" applyFill="1" applyAlignment="1">
      <alignment horizontal="justify" vertical="center"/>
    </xf>
    <xf numFmtId="166" fontId="24" fillId="35" borderId="0" xfId="45" applyNumberFormat="1" applyFont="1" applyFill="1"/>
    <xf numFmtId="0" fontId="31" fillId="35" borderId="0" xfId="0" applyFont="1" applyFill="1" applyAlignment="1">
      <alignment horizontal="justify" vertical="center"/>
    </xf>
    <xf numFmtId="0" fontId="25" fillId="0" borderId="0" xfId="0" applyFont="1" applyFill="1" applyAlignment="1">
      <alignment horizontal="justify" vertical="center"/>
    </xf>
    <xf numFmtId="0" fontId="31" fillId="36" borderId="0" xfId="0" applyFont="1" applyFill="1" applyAlignment="1">
      <alignment horizontal="justify" vertical="center"/>
    </xf>
    <xf numFmtId="0" fontId="28" fillId="0" borderId="0" xfId="0" applyFont="1" applyFill="1" applyAlignment="1">
      <alignment horizontal="justify" vertical="center"/>
    </xf>
    <xf numFmtId="0" fontId="21" fillId="0" borderId="0" xfId="0" applyFont="1" applyBorder="1" applyAlignme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 applyAlignment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 applyAlignment="1"/>
    <xf numFmtId="0" fontId="21" fillId="0" borderId="13" xfId="0" applyFont="1" applyFill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0" xfId="0" applyAlignment="1"/>
    <xf numFmtId="0" fontId="0" fillId="0" borderId="12" xfId="0" applyBorder="1" applyAlignment="1"/>
    <xf numFmtId="0" fontId="0" fillId="0" borderId="18" xfId="0" applyBorder="1" applyAlignment="1"/>
    <xf numFmtId="0" fontId="0" fillId="0" borderId="38" xfId="0" applyBorder="1" applyAlignment="1"/>
    <xf numFmtId="0" fontId="0" fillId="0" borderId="16" xfId="0" applyBorder="1" applyAlignment="1"/>
    <xf numFmtId="1" fontId="35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" fontId="21" fillId="0" borderId="37" xfId="45" applyNumberFormat="1" applyFont="1" applyBorder="1" applyAlignment="1">
      <alignment horizontal="right" vertical="center"/>
    </xf>
    <xf numFmtId="166" fontId="34" fillId="0" borderId="37" xfId="45" applyNumberFormat="1" applyFont="1" applyBorder="1" applyAlignment="1">
      <alignment horizontal="right" vertical="center"/>
    </xf>
    <xf numFmtId="1" fontId="34" fillId="0" borderId="15" xfId="0" applyNumberFormat="1" applyFont="1" applyBorder="1" applyAlignment="1">
      <alignment horizontal="right" vertical="center"/>
    </xf>
    <xf numFmtId="1" fontId="34" fillId="0" borderId="15" xfId="0" applyNumberFormat="1" applyFont="1" applyFill="1" applyBorder="1" applyAlignment="1">
      <alignment horizontal="right" vertical="center"/>
    </xf>
    <xf numFmtId="166" fontId="34" fillId="0" borderId="15" xfId="45" applyNumberFormat="1" applyFont="1" applyFill="1" applyBorder="1" applyAlignment="1">
      <alignment horizontal="right" vertical="center"/>
    </xf>
    <xf numFmtId="166" fontId="34" fillId="0" borderId="15" xfId="45" applyNumberFormat="1" applyFont="1" applyBorder="1" applyAlignment="1">
      <alignment horizontal="right" vertical="center"/>
    </xf>
    <xf numFmtId="0" fontId="51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66" fontId="21" fillId="39" borderId="37" xfId="45" applyNumberFormat="1" applyFont="1" applyFill="1" applyBorder="1" applyAlignment="1">
      <alignment horizontal="right" vertical="center"/>
    </xf>
    <xf numFmtId="1" fontId="36" fillId="0" borderId="37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center"/>
    </xf>
    <xf numFmtId="0" fontId="39" fillId="37" borderId="0" xfId="46" applyFont="1" applyFill="1" applyBorder="1" applyAlignment="1">
      <alignment horizontal="center" vertical="center"/>
    </xf>
    <xf numFmtId="0" fontId="39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40" fillId="37" borderId="30" xfId="46" applyFont="1" applyFill="1" applyBorder="1" applyAlignment="1">
      <alignment horizontal="center" vertical="center" wrapText="1"/>
    </xf>
    <xf numFmtId="0" fontId="40" fillId="37" borderId="19" xfId="46" applyFont="1" applyFill="1" applyBorder="1" applyAlignment="1">
      <alignment horizontal="center" vertical="center" wrapText="1"/>
    </xf>
    <xf numFmtId="0" fontId="40" fillId="37" borderId="21" xfId="46" applyFont="1" applyFill="1" applyBorder="1" applyAlignment="1">
      <alignment horizontal="center" vertical="center" wrapText="1"/>
    </xf>
    <xf numFmtId="0" fontId="40" fillId="37" borderId="24" xfId="46" applyFont="1" applyFill="1" applyBorder="1" applyAlignment="1">
      <alignment horizontal="center" vertical="center" wrapText="1"/>
    </xf>
    <xf numFmtId="0" fontId="40" fillId="37" borderId="26" xfId="46" applyFont="1" applyFill="1" applyBorder="1" applyAlignment="1">
      <alignment horizontal="center" vertical="center" wrapText="1"/>
    </xf>
    <xf numFmtId="0" fontId="40" fillId="37" borderId="30" xfId="46" applyNumberFormat="1" applyFont="1" applyFill="1" applyBorder="1" applyAlignment="1">
      <alignment horizontal="center" vertical="center" wrapText="1"/>
    </xf>
    <xf numFmtId="0" fontId="40" fillId="0" borderId="30" xfId="46" applyNumberFormat="1" applyFont="1" applyBorder="1" applyAlignment="1">
      <alignment horizontal="center" vertical="center" wrapText="1"/>
    </xf>
    <xf numFmtId="0" fontId="40" fillId="37" borderId="27" xfId="46" applyFont="1" applyFill="1" applyBorder="1" applyAlignment="1">
      <alignment horizontal="center" vertical="center" wrapText="1"/>
    </xf>
    <xf numFmtId="0" fontId="40" fillId="37" borderId="29" xfId="46" applyFont="1" applyFill="1" applyBorder="1" applyAlignment="1">
      <alignment horizontal="center" vertical="center" wrapText="1"/>
    </xf>
    <xf numFmtId="0" fontId="35" fillId="0" borderId="29" xfId="46" applyFont="1" applyFill="1" applyBorder="1" applyAlignment="1">
      <alignment horizontal="justify" vertical="center"/>
    </xf>
    <xf numFmtId="0" fontId="35" fillId="0" borderId="28" xfId="46" applyFont="1" applyFill="1" applyBorder="1" applyAlignment="1">
      <alignment horizontal="justify" vertical="center"/>
    </xf>
    <xf numFmtId="0" fontId="20" fillId="37" borderId="25" xfId="46" applyFont="1" applyFill="1" applyBorder="1" applyAlignment="1">
      <alignment horizontal="center" vertical="center" wrapText="1"/>
    </xf>
    <xf numFmtId="0" fontId="40" fillId="37" borderId="28" xfId="46" applyFont="1" applyFill="1" applyBorder="1" applyAlignment="1">
      <alignment horizontal="center" vertical="center" wrapText="1"/>
    </xf>
    <xf numFmtId="0" fontId="35" fillId="0" borderId="20" xfId="46" applyFont="1" applyFill="1" applyBorder="1" applyAlignment="1">
      <alignment horizontal="justify" vertical="center"/>
    </xf>
    <xf numFmtId="0" fontId="35" fillId="0" borderId="21" xfId="46" applyFont="1" applyFill="1" applyBorder="1" applyAlignment="1">
      <alignment horizontal="justify" vertical="center"/>
    </xf>
    <xf numFmtId="0" fontId="35" fillId="0" borderId="29" xfId="46" applyFont="1" applyFill="1" applyBorder="1" applyAlignment="1">
      <alignment horizontal="center" vertical="center"/>
    </xf>
    <xf numFmtId="0" fontId="35" fillId="0" borderId="28" xfId="46" applyFont="1" applyFill="1" applyBorder="1" applyAlignment="1">
      <alignment horizontal="center" vertical="center"/>
    </xf>
    <xf numFmtId="0" fontId="35" fillId="0" borderId="0" xfId="46" applyFont="1" applyFill="1" applyBorder="1" applyAlignment="1">
      <alignment horizontal="justify" vertical="center"/>
    </xf>
    <xf numFmtId="0" fontId="35" fillId="0" borderId="23" xfId="46" applyFont="1" applyFill="1" applyBorder="1" applyAlignment="1">
      <alignment horizontal="justify" vertical="center"/>
    </xf>
    <xf numFmtId="0" fontId="41" fillId="0" borderId="0" xfId="46" applyFont="1" applyFill="1" applyBorder="1" applyAlignment="1">
      <alignment horizontal="justify" vertical="center"/>
    </xf>
    <xf numFmtId="0" fontId="41" fillId="0" borderId="23" xfId="46" applyFont="1" applyFill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37" borderId="30" xfId="46" applyNumberFormat="1" applyFont="1" applyFill="1" applyBorder="1" applyAlignment="1">
      <alignment horizontal="center" vertical="center" wrapText="1"/>
    </xf>
    <xf numFmtId="0" fontId="39" fillId="0" borderId="30" xfId="46" applyNumberFormat="1" applyFont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41" fillId="0" borderId="20" xfId="46" applyFont="1" applyFill="1" applyBorder="1" applyAlignment="1">
      <alignment horizontal="justify" vertical="center"/>
    </xf>
    <xf numFmtId="0" fontId="41" fillId="0" borderId="21" xfId="46" applyFont="1" applyFill="1" applyBorder="1" applyAlignment="1">
      <alignment horizontal="justify" vertical="center"/>
    </xf>
    <xf numFmtId="0" fontId="41" fillId="0" borderId="0" xfId="46" applyFont="1" applyFill="1" applyBorder="1" applyAlignment="1">
      <alignment horizontal="justify" vertical="center" wrapText="1"/>
    </xf>
    <xf numFmtId="0" fontId="41" fillId="0" borderId="23" xfId="46" applyFont="1" applyFill="1" applyBorder="1" applyAlignment="1">
      <alignment horizontal="justify" vertical="center" wrapText="1"/>
    </xf>
    <xf numFmtId="0" fontId="41" fillId="0" borderId="0" xfId="46" applyFont="1" applyFill="1" applyBorder="1" applyAlignment="1">
      <alignment horizontal="left" vertical="center" wrapText="1"/>
    </xf>
    <xf numFmtId="0" fontId="41" fillId="0" borderId="23" xfId="46" applyFont="1" applyFill="1" applyBorder="1" applyAlignment="1">
      <alignment horizontal="left" vertical="center" wrapText="1"/>
    </xf>
    <xf numFmtId="0" fontId="39" fillId="37" borderId="27" xfId="46" applyFont="1" applyFill="1" applyBorder="1" applyAlignment="1">
      <alignment horizontal="center" vertical="justify" wrapText="1"/>
    </xf>
    <xf numFmtId="0" fontId="39" fillId="37" borderId="29" xfId="46" applyFont="1" applyFill="1" applyBorder="1" applyAlignment="1">
      <alignment horizontal="center" vertical="justify" wrapText="1"/>
    </xf>
    <xf numFmtId="0" fontId="39" fillId="37" borderId="28" xfId="46" applyFont="1" applyFill="1" applyBorder="1" applyAlignment="1">
      <alignment horizontal="center" vertical="justify" wrapText="1"/>
    </xf>
    <xf numFmtId="0" fontId="41" fillId="0" borderId="25" xfId="46" applyFont="1" applyFill="1" applyBorder="1" applyAlignment="1">
      <alignment horizontal="justify" vertical="center" wrapText="1"/>
    </xf>
    <xf numFmtId="0" fontId="41" fillId="0" borderId="26" xfId="46" applyFont="1" applyFill="1" applyBorder="1" applyAlignment="1">
      <alignment horizontal="justify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4" fillId="0" borderId="14" xfId="0" applyFont="1" applyBorder="1" applyAlignment="1">
      <alignment vertical="center" wrapText="1"/>
    </xf>
    <xf numFmtId="0" fontId="44" fillId="0" borderId="15" xfId="0" applyFont="1" applyBorder="1" applyAlignment="1">
      <alignment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8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/>
    </xf>
    <xf numFmtId="0" fontId="25" fillId="0" borderId="1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47" fillId="0" borderId="16" xfId="0" applyFont="1" applyBorder="1" applyAlignment="1">
      <alignment horizontal="justify" vertical="center" wrapText="1"/>
    </xf>
    <xf numFmtId="0" fontId="47" fillId="0" borderId="17" xfId="0" applyFont="1" applyBorder="1" applyAlignment="1">
      <alignment horizontal="justify" vertical="center" wrapText="1"/>
    </xf>
    <xf numFmtId="0" fontId="47" fillId="0" borderId="18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47" fillId="0" borderId="14" xfId="0" applyFont="1" applyBorder="1" applyAlignment="1">
      <alignment horizontal="justify" vertical="center" wrapText="1"/>
    </xf>
    <xf numFmtId="0" fontId="47" fillId="0" borderId="0" xfId="0" applyFont="1" applyBorder="1" applyAlignment="1">
      <alignment horizontal="justify" vertical="center" wrapText="1"/>
    </xf>
    <xf numFmtId="0" fontId="47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3" fillId="39" borderId="41" xfId="0" applyFont="1" applyFill="1" applyBorder="1" applyAlignment="1">
      <alignment horizontal="center" vertical="center"/>
    </xf>
    <xf numFmtId="0" fontId="43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2" fillId="0" borderId="0" xfId="0" applyFont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Border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8" fillId="0" borderId="0" xfId="0" applyFont="1" applyBorder="1" applyAlignment="1">
      <alignment horizontal="left" vertical="center"/>
    </xf>
    <xf numFmtId="166" fontId="18" fillId="0" borderId="43" xfId="45" applyNumberFormat="1" applyFont="1" applyFill="1" applyBorder="1" applyAlignment="1">
      <alignment horizontal="right" vertical="center"/>
    </xf>
    <xf numFmtId="0" fontId="25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21" fillId="0" borderId="0" xfId="0" applyFont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21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25" fillId="0" borderId="0" xfId="0" applyFont="1" applyAlignment="1">
      <alignment horizont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Border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50" fillId="0" borderId="17" xfId="0" applyFont="1" applyBorder="1" applyAlignment="1">
      <alignment horizontal="left" vertical="center"/>
    </xf>
    <xf numFmtId="0" fontId="21" fillId="40" borderId="41" xfId="0" applyFont="1" applyFill="1" applyBorder="1" applyAlignment="1">
      <alignment horizontal="center" vertical="center" wrapText="1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  <xf numFmtId="1" fontId="21" fillId="39" borderId="37" xfId="0" applyNumberFormat="1" applyFont="1" applyFill="1" applyBorder="1" applyAlignment="1">
      <alignment horizontal="right" vertical="center"/>
    </xf>
  </cellXfs>
  <cellStyles count="54">
    <cellStyle name="=C:\WINNT\SYSTEM32\COMMAND.COM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/>
    <cellStyle name="Millares 2 2" xfId="52"/>
    <cellStyle name="Millares 5 2" xfId="44"/>
    <cellStyle name="Moneda" xfId="53" builtinId="4"/>
    <cellStyle name="Neutral" xfId="8" builtinId="28" customBuiltin="1"/>
    <cellStyle name="Normal" xfId="0" builtinId="0"/>
    <cellStyle name="Normal 2" xfId="46"/>
    <cellStyle name="Normal 3" xfId="48"/>
    <cellStyle name="Normal 5 3" xfId="42"/>
    <cellStyle name="Normal 7 2 2" xfId="43"/>
    <cellStyle name="Normal 9" xfId="5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/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/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/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/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244\Desktop\Users\Salomon\Documents\SALOMON\CONTABILIDAD\INTERNO%201\CONTABILIDAD%202014\ESTADOS%20FINANCIEROS\AGOSTO\CUENTA%20PUBLICA%20ENERO-FEBRERO\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244\Desktop\Documents%20and%20Settings\conta_marysol2\Datos%20de%20programa\Microsoft\Excel\CUENTA%20PUBLICA%20ENERO-FEBRERO\CTA%20PUBLICA%20FEBRERO%20DEUDORES%20DIVER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jercicio%202016\Cuenta%20P&#250;blica%202016\Cuenta%20Publica%20Armonizada%20DICIEMBRE%202016%20-%20copia\CUENTA%20PUBLIC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DE ACTIVIDADES"/>
      <sheetName val="SITUACION FINANCIERA"/>
      <sheetName val="EDO DE CAMBIOS"/>
      <sheetName val="ANALITICO DEL ACTIVO"/>
      <sheetName val="DEUDA Y OTROS PASIVOS"/>
      <sheetName val="ESTADO DE VARIACIÓN"/>
      <sheetName val="FLUJOS DE EFECTIVO"/>
      <sheetName val="EAI"/>
      <sheetName val="CAdmon"/>
      <sheetName val="CTG"/>
      <sheetName val="COG"/>
      <sheetName val="CFG"/>
      <sheetName val="End Neto"/>
      <sheetName val="Int"/>
      <sheetName val="CProg"/>
      <sheetName val="Post Fiscal"/>
      <sheetName val="BInmu"/>
      <sheetName val="Rel Cta Banc"/>
      <sheetName val="BMu"/>
      <sheetName val="Conciliaciones"/>
      <sheetName val="BALANZA"/>
      <sheetName val="BALANZA (2)"/>
      <sheetName val="PRONOSTICO DE INGRESOS"/>
      <sheetName val="PRESUPUESTO DE EGRESOS"/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506">
          <cell r="V506">
            <v>9968292</v>
          </cell>
        </row>
        <row r="510">
          <cell r="V510">
            <v>986492</v>
          </cell>
        </row>
        <row r="514">
          <cell r="V514">
            <v>1533815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33"/>
      <c r="B1" s="33"/>
      <c r="C1" s="33"/>
      <c r="D1" s="33"/>
      <c r="E1" s="33"/>
      <c r="F1" s="33"/>
      <c r="G1" s="374">
        <v>2016</v>
      </c>
      <c r="H1" s="374"/>
      <c r="I1" s="374"/>
      <c r="J1" s="374"/>
      <c r="K1" s="111"/>
      <c r="L1" s="33"/>
    </row>
    <row r="2" spans="1:12" x14ac:dyDescent="0.25">
      <c r="A2" s="33"/>
      <c r="B2" s="33"/>
      <c r="C2" s="33"/>
      <c r="D2" s="33"/>
      <c r="E2" s="33"/>
      <c r="F2" s="33"/>
      <c r="G2" s="111" t="s">
        <v>2</v>
      </c>
      <c r="H2" s="111" t="s">
        <v>580</v>
      </c>
      <c r="I2" s="111" t="s">
        <v>581</v>
      </c>
      <c r="J2" s="111" t="s">
        <v>582</v>
      </c>
      <c r="K2" s="111"/>
      <c r="L2" s="33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8">
        <f>+G4+G92</f>
        <v>13156894.779999999</v>
      </c>
      <c r="H3" s="28">
        <f>+H4+H92</f>
        <v>4817050</v>
      </c>
      <c r="I3" s="28">
        <f>+I4+I92</f>
        <v>10488766.75</v>
      </c>
      <c r="J3" s="28">
        <f>+J4+J92</f>
        <v>8867512.0299999993</v>
      </c>
      <c r="K3" s="28"/>
      <c r="L3" s="33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4">
        <f>+G5+G39+G71+G77+G83+G85+G88</f>
        <v>9755586.8399999999</v>
      </c>
      <c r="H4" s="24">
        <f>+H5+H39+H71+H77+H83+H85+H88</f>
        <v>4817050</v>
      </c>
      <c r="I4" s="24">
        <f>+I5+I39+I71+I77+I83+I85+I88</f>
        <v>10306768</v>
      </c>
      <c r="J4" s="24">
        <f>+J5+J39+J71+J77+J83+J85+J88</f>
        <v>5648202.8399999999</v>
      </c>
      <c r="K4" s="24"/>
      <c r="L4" s="33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33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33"/>
    </row>
    <row r="7" spans="1:12" x14ac:dyDescent="0.25">
      <c r="A7" s="14">
        <v>1</v>
      </c>
      <c r="B7" s="14">
        <v>1</v>
      </c>
      <c r="C7" s="14">
        <v>1</v>
      </c>
      <c r="D7" s="14">
        <v>2</v>
      </c>
      <c r="E7" s="14"/>
      <c r="F7" s="14" t="s">
        <v>83</v>
      </c>
      <c r="G7" s="15">
        <f>SUM(G8:G33)</f>
        <v>9739632</v>
      </c>
      <c r="H7" s="15">
        <f>SUM(H8:H29)</f>
        <v>4801684</v>
      </c>
      <c r="I7" s="15">
        <f>SUM(I8:I29)</f>
        <v>10304705</v>
      </c>
      <c r="J7" s="15">
        <f>SUM(J8:J33)</f>
        <v>5618945</v>
      </c>
      <c r="K7" s="15"/>
      <c r="L7" s="33"/>
    </row>
    <row r="8" spans="1:12" x14ac:dyDescent="0.25">
      <c r="A8" s="3"/>
      <c r="B8" s="3"/>
      <c r="C8" s="3"/>
      <c r="D8" s="3"/>
      <c r="E8" s="3">
        <v>1</v>
      </c>
      <c r="F8" s="3" t="s">
        <v>441</v>
      </c>
      <c r="G8" s="16">
        <v>24465</v>
      </c>
      <c r="H8" s="16">
        <f>112400+2500+0</f>
        <v>114900</v>
      </c>
      <c r="I8" s="16">
        <f>132623+6742+0</f>
        <v>139365</v>
      </c>
      <c r="J8" s="5">
        <f>+G8+H8-I8</f>
        <v>0</v>
      </c>
      <c r="K8" s="5"/>
      <c r="L8" s="33"/>
    </row>
    <row r="9" spans="1:12" x14ac:dyDescent="0.25">
      <c r="A9" s="3"/>
      <c r="B9" s="3"/>
      <c r="C9" s="3"/>
      <c r="D9" s="3"/>
      <c r="E9" s="3">
        <v>2</v>
      </c>
      <c r="F9" s="3" t="s">
        <v>442</v>
      </c>
      <c r="G9" s="16">
        <v>20728</v>
      </c>
      <c r="H9" s="16">
        <f>0+0+0</f>
        <v>0</v>
      </c>
      <c r="I9" s="16">
        <f>5466+15262</f>
        <v>20728</v>
      </c>
      <c r="J9" s="5">
        <f>+G9+H9-I9</f>
        <v>0</v>
      </c>
      <c r="K9" s="5"/>
      <c r="L9" s="33"/>
    </row>
    <row r="10" spans="1:12" hidden="1" x14ac:dyDescent="0.25">
      <c r="A10" s="3"/>
      <c r="B10" s="3"/>
      <c r="C10" s="3"/>
      <c r="D10" s="3"/>
      <c r="E10" s="3">
        <v>3</v>
      </c>
      <c r="F10" s="3" t="s">
        <v>443</v>
      </c>
      <c r="G10" s="16">
        <v>0</v>
      </c>
      <c r="H10" s="16"/>
      <c r="I10" s="16"/>
      <c r="J10" s="5">
        <f t="shared" ref="J10:J33" si="0">+G10+H10-I10</f>
        <v>0</v>
      </c>
      <c r="K10" s="5"/>
      <c r="L10" s="33"/>
    </row>
    <row r="11" spans="1:12" x14ac:dyDescent="0.25">
      <c r="A11" s="3"/>
      <c r="B11" s="3"/>
      <c r="C11" s="3"/>
      <c r="D11" s="3"/>
      <c r="E11" s="3">
        <v>4</v>
      </c>
      <c r="F11" s="3" t="s">
        <v>444</v>
      </c>
      <c r="G11" s="16">
        <v>23465</v>
      </c>
      <c r="H11" s="16">
        <f>1384+137+0-1</f>
        <v>1520</v>
      </c>
      <c r="I11" s="16">
        <f>0+0+1301</f>
        <v>1301</v>
      </c>
      <c r="J11" s="5">
        <f t="shared" si="0"/>
        <v>23684</v>
      </c>
      <c r="K11" s="5"/>
      <c r="L11" s="33"/>
    </row>
    <row r="12" spans="1:12" hidden="1" x14ac:dyDescent="0.25">
      <c r="A12" s="3"/>
      <c r="B12" s="3"/>
      <c r="C12" s="3"/>
      <c r="D12" s="3"/>
      <c r="E12" s="3">
        <v>5</v>
      </c>
      <c r="F12" s="3" t="s">
        <v>445</v>
      </c>
      <c r="G12" s="16">
        <v>0</v>
      </c>
      <c r="H12" s="16"/>
      <c r="I12" s="16"/>
      <c r="J12" s="5">
        <f t="shared" si="0"/>
        <v>0</v>
      </c>
      <c r="K12" s="5"/>
      <c r="L12" s="33"/>
    </row>
    <row r="13" spans="1:12" hidden="1" x14ac:dyDescent="0.25">
      <c r="A13" s="3"/>
      <c r="B13" s="3"/>
      <c r="C13" s="3"/>
      <c r="D13" s="3"/>
      <c r="E13" s="3">
        <v>9</v>
      </c>
      <c r="F13" s="3" t="s">
        <v>590</v>
      </c>
      <c r="G13" s="16">
        <v>0</v>
      </c>
      <c r="H13" s="16"/>
      <c r="I13" s="16"/>
      <c r="J13" s="5">
        <f t="shared" si="0"/>
        <v>0</v>
      </c>
      <c r="K13" s="5"/>
      <c r="L13" s="33"/>
    </row>
    <row r="14" spans="1:12" hidden="1" x14ac:dyDescent="0.25">
      <c r="A14" s="3"/>
      <c r="B14" s="3"/>
      <c r="C14" s="3"/>
      <c r="D14" s="3"/>
      <c r="E14" s="3">
        <v>11</v>
      </c>
      <c r="F14" s="3" t="s">
        <v>446</v>
      </c>
      <c r="G14" s="16">
        <v>0</v>
      </c>
      <c r="H14" s="16"/>
      <c r="I14" s="16"/>
      <c r="J14" s="5">
        <f t="shared" si="0"/>
        <v>0</v>
      </c>
      <c r="K14" s="5"/>
      <c r="L14" s="33"/>
    </row>
    <row r="15" spans="1:12" x14ac:dyDescent="0.25">
      <c r="A15" s="3"/>
      <c r="B15" s="3"/>
      <c r="C15" s="3"/>
      <c r="D15" s="3"/>
      <c r="E15" s="3">
        <v>16</v>
      </c>
      <c r="F15" s="3" t="s">
        <v>447</v>
      </c>
      <c r="G15" s="16">
        <v>1358007</v>
      </c>
      <c r="H15" s="16">
        <f>0+0+0</f>
        <v>0</v>
      </c>
      <c r="I15" s="16">
        <f>361868+95327+155463</f>
        <v>612658</v>
      </c>
      <c r="J15" s="5">
        <f t="shared" si="0"/>
        <v>745349</v>
      </c>
      <c r="K15" s="5"/>
      <c r="L15" s="33"/>
    </row>
    <row r="16" spans="1:12" hidden="1" x14ac:dyDescent="0.25">
      <c r="A16" s="3"/>
      <c r="B16" s="3"/>
      <c r="C16" s="3"/>
      <c r="D16" s="3"/>
      <c r="E16" s="3">
        <v>17</v>
      </c>
      <c r="F16" s="3" t="s">
        <v>448</v>
      </c>
      <c r="G16" s="16">
        <v>0</v>
      </c>
      <c r="H16" s="16"/>
      <c r="I16" s="16"/>
      <c r="J16" s="5">
        <f t="shared" si="0"/>
        <v>0</v>
      </c>
      <c r="K16" s="5"/>
      <c r="L16" s="33"/>
    </row>
    <row r="17" spans="1:12" hidden="1" x14ac:dyDescent="0.25">
      <c r="A17" s="3"/>
      <c r="B17" s="3"/>
      <c r="C17" s="3"/>
      <c r="D17" s="3"/>
      <c r="E17" s="3">
        <v>18</v>
      </c>
      <c r="F17" s="3" t="s">
        <v>449</v>
      </c>
      <c r="G17" s="16">
        <v>0</v>
      </c>
      <c r="H17" s="16"/>
      <c r="I17" s="16"/>
      <c r="J17" s="5">
        <f t="shared" si="0"/>
        <v>0</v>
      </c>
      <c r="K17" s="5"/>
      <c r="L17" s="33"/>
    </row>
    <row r="18" spans="1:12" hidden="1" x14ac:dyDescent="0.25">
      <c r="A18" s="3"/>
      <c r="B18" s="3"/>
      <c r="C18" s="3"/>
      <c r="D18" s="3"/>
      <c r="E18" s="3">
        <v>19</v>
      </c>
      <c r="F18" s="3" t="s">
        <v>450</v>
      </c>
      <c r="G18" s="16">
        <v>0</v>
      </c>
      <c r="H18" s="16"/>
      <c r="I18" s="16"/>
      <c r="J18" s="5">
        <f t="shared" si="0"/>
        <v>0</v>
      </c>
      <c r="K18" s="5"/>
      <c r="L18" s="33"/>
    </row>
    <row r="19" spans="1:12" hidden="1" x14ac:dyDescent="0.25">
      <c r="A19" s="3"/>
      <c r="B19" s="3"/>
      <c r="C19" s="3"/>
      <c r="D19" s="3"/>
      <c r="E19" s="3">
        <v>20</v>
      </c>
      <c r="F19" s="3" t="s">
        <v>680</v>
      </c>
      <c r="G19" s="16">
        <v>0</v>
      </c>
      <c r="H19" s="16"/>
      <c r="I19" s="16"/>
      <c r="J19" s="5">
        <f t="shared" si="0"/>
        <v>0</v>
      </c>
      <c r="K19" s="5"/>
      <c r="L19" s="33"/>
    </row>
    <row r="20" spans="1:12" hidden="1" x14ac:dyDescent="0.25">
      <c r="A20" s="3"/>
      <c r="B20" s="3"/>
      <c r="C20" s="3"/>
      <c r="D20" s="3"/>
      <c r="E20" s="3">
        <v>21</v>
      </c>
      <c r="F20" s="3" t="s">
        <v>679</v>
      </c>
      <c r="G20" s="16">
        <v>0</v>
      </c>
      <c r="H20" s="5"/>
      <c r="I20" s="5"/>
      <c r="J20" s="5">
        <f t="shared" si="0"/>
        <v>0</v>
      </c>
      <c r="K20" s="5"/>
      <c r="L20" s="33"/>
    </row>
    <row r="21" spans="1:12" hidden="1" x14ac:dyDescent="0.25">
      <c r="A21" s="3"/>
      <c r="B21" s="3"/>
      <c r="C21" s="3"/>
      <c r="D21" s="3"/>
      <c r="E21" s="3">
        <v>23</v>
      </c>
      <c r="F21" s="3" t="s">
        <v>452</v>
      </c>
      <c r="G21" s="16">
        <v>0</v>
      </c>
      <c r="H21" s="16"/>
      <c r="I21" s="16"/>
      <c r="J21" s="5">
        <f t="shared" si="0"/>
        <v>0</v>
      </c>
      <c r="K21" s="5"/>
      <c r="L21" s="33"/>
    </row>
    <row r="22" spans="1:12" hidden="1" x14ac:dyDescent="0.25">
      <c r="A22" s="3"/>
      <c r="B22" s="3"/>
      <c r="C22" s="3"/>
      <c r="D22" s="3"/>
      <c r="E22" s="3">
        <v>25</v>
      </c>
      <c r="F22" s="3" t="s">
        <v>451</v>
      </c>
      <c r="G22" s="16">
        <v>0</v>
      </c>
      <c r="H22" s="16"/>
      <c r="I22" s="16"/>
      <c r="J22" s="5">
        <f t="shared" si="0"/>
        <v>0</v>
      </c>
      <c r="K22" s="5"/>
      <c r="L22" s="33"/>
    </row>
    <row r="23" spans="1:12" hidden="1" x14ac:dyDescent="0.25">
      <c r="A23" s="3"/>
      <c r="B23" s="3"/>
      <c r="C23" s="3"/>
      <c r="D23" s="3"/>
      <c r="E23" s="3">
        <v>26</v>
      </c>
      <c r="F23" s="3" t="s">
        <v>453</v>
      </c>
      <c r="G23" s="16">
        <v>0</v>
      </c>
      <c r="H23" s="16"/>
      <c r="I23" s="16"/>
      <c r="J23" s="5">
        <f t="shared" si="0"/>
        <v>0</v>
      </c>
      <c r="K23" s="5"/>
      <c r="L23" s="33"/>
    </row>
    <row r="24" spans="1:12" x14ac:dyDescent="0.25">
      <c r="A24" s="3"/>
      <c r="B24" s="3"/>
      <c r="C24" s="3"/>
      <c r="D24" s="3"/>
      <c r="E24" s="3">
        <v>27</v>
      </c>
      <c r="F24" s="3" t="s">
        <v>682</v>
      </c>
      <c r="G24" s="16">
        <v>24</v>
      </c>
      <c r="H24" s="16">
        <v>0</v>
      </c>
      <c r="I24" s="16">
        <f>24</f>
        <v>24</v>
      </c>
      <c r="J24" s="5">
        <f t="shared" si="0"/>
        <v>0</v>
      </c>
      <c r="K24" s="5"/>
      <c r="L24" s="33"/>
    </row>
    <row r="25" spans="1:12" x14ac:dyDescent="0.25">
      <c r="A25" s="3"/>
      <c r="B25" s="3"/>
      <c r="C25" s="3"/>
      <c r="D25" s="3"/>
      <c r="E25" s="3">
        <v>28</v>
      </c>
      <c r="F25" s="3" t="s">
        <v>699</v>
      </c>
      <c r="G25" s="16">
        <v>100000</v>
      </c>
      <c r="H25" s="16">
        <v>0</v>
      </c>
      <c r="I25" s="16">
        <v>0</v>
      </c>
      <c r="J25" s="5">
        <f t="shared" si="0"/>
        <v>100000</v>
      </c>
      <c r="K25" s="5"/>
      <c r="L25" s="33"/>
    </row>
    <row r="26" spans="1:12" x14ac:dyDescent="0.25">
      <c r="A26" s="3"/>
      <c r="B26" s="3"/>
      <c r="C26" s="3"/>
      <c r="D26" s="3"/>
      <c r="E26" s="3">
        <v>29</v>
      </c>
      <c r="F26" s="3" t="s">
        <v>700</v>
      </c>
      <c r="G26" s="16">
        <v>6669089</v>
      </c>
      <c r="H26" s="16">
        <f>66+3654076+59</f>
        <v>3654201</v>
      </c>
      <c r="I26" s="16">
        <f>3890400+0+4126816</f>
        <v>8017216</v>
      </c>
      <c r="J26" s="5">
        <f>+G26+H26-I26</f>
        <v>2306074</v>
      </c>
      <c r="K26" s="5"/>
      <c r="L26" s="33"/>
    </row>
    <row r="27" spans="1:12" hidden="1" x14ac:dyDescent="0.25">
      <c r="A27" s="3"/>
      <c r="B27" s="3"/>
      <c r="C27" s="3"/>
      <c r="D27" s="3"/>
      <c r="E27" s="3">
        <v>30</v>
      </c>
      <c r="F27" s="3" t="s">
        <v>701</v>
      </c>
      <c r="G27" s="16">
        <v>0</v>
      </c>
      <c r="H27" s="16"/>
      <c r="I27" s="16"/>
      <c r="J27" s="5">
        <f>+G27+H27-I27</f>
        <v>0</v>
      </c>
      <c r="K27" s="5"/>
      <c r="L27" s="33"/>
    </row>
    <row r="28" spans="1:12" x14ac:dyDescent="0.25">
      <c r="A28" s="3"/>
      <c r="B28" s="3"/>
      <c r="C28" s="3"/>
      <c r="D28" s="3"/>
      <c r="E28" s="3">
        <v>31</v>
      </c>
      <c r="F28" s="3" t="s">
        <v>813</v>
      </c>
      <c r="G28" s="16">
        <v>550202</v>
      </c>
      <c r="H28" s="16">
        <f>5+5+4</f>
        <v>14</v>
      </c>
      <c r="I28" s="16">
        <f>1100+1302+25236</f>
        <v>27638</v>
      </c>
      <c r="J28" s="5">
        <f>+G28+H28-I28</f>
        <v>522578</v>
      </c>
      <c r="K28" s="5"/>
      <c r="L28" s="33"/>
    </row>
    <row r="29" spans="1:12" x14ac:dyDescent="0.25">
      <c r="A29" s="3"/>
      <c r="B29" s="3"/>
      <c r="C29" s="3"/>
      <c r="D29" s="3"/>
      <c r="E29" s="3">
        <v>32</v>
      </c>
      <c r="F29" s="3" t="s">
        <v>813</v>
      </c>
      <c r="G29" s="16">
        <v>993652</v>
      </c>
      <c r="H29" s="16">
        <f>620018+180024+231007</f>
        <v>1031049</v>
      </c>
      <c r="I29" s="16">
        <f>465108+677762+342905</f>
        <v>1485775</v>
      </c>
      <c r="J29" s="5">
        <f t="shared" si="0"/>
        <v>538926</v>
      </c>
      <c r="K29" s="5"/>
      <c r="L29" s="33"/>
    </row>
    <row r="30" spans="1:12" x14ac:dyDescent="0.25">
      <c r="A30" s="3"/>
      <c r="B30" s="3"/>
      <c r="C30" s="3"/>
      <c r="D30" s="3"/>
      <c r="E30" s="3">
        <v>33</v>
      </c>
      <c r="F30" s="3" t="s">
        <v>820</v>
      </c>
      <c r="G30" s="16"/>
      <c r="H30" s="16">
        <f>114380+341045+199411+1</f>
        <v>654837</v>
      </c>
      <c r="I30" s="16">
        <f>59641+355462+224517</f>
        <v>639620</v>
      </c>
      <c r="J30" s="5">
        <f t="shared" si="0"/>
        <v>15217</v>
      </c>
      <c r="K30" s="5"/>
      <c r="L30" s="33"/>
    </row>
    <row r="31" spans="1:12" x14ac:dyDescent="0.25">
      <c r="A31" s="3"/>
      <c r="B31" s="3"/>
      <c r="C31" s="3"/>
      <c r="D31" s="3"/>
      <c r="E31" s="3">
        <v>34</v>
      </c>
      <c r="F31" s="3" t="s">
        <v>821</v>
      </c>
      <c r="G31" s="16"/>
      <c r="H31" s="16">
        <f>851000+852000+1158739+1</f>
        <v>2861740</v>
      </c>
      <c r="I31" s="16">
        <f>746277+871432+1157176</f>
        <v>2774885</v>
      </c>
      <c r="J31" s="5">
        <f t="shared" si="0"/>
        <v>86855</v>
      </c>
      <c r="K31" s="5"/>
      <c r="L31" s="33"/>
    </row>
    <row r="32" spans="1:12" x14ac:dyDescent="0.25">
      <c r="A32" s="3"/>
      <c r="B32" s="3"/>
      <c r="C32" s="3"/>
      <c r="D32" s="3"/>
      <c r="E32" s="3">
        <v>35</v>
      </c>
      <c r="F32" s="3" t="s">
        <v>822</v>
      </c>
      <c r="G32" s="16"/>
      <c r="H32" s="16">
        <f>2620000+0+0</f>
        <v>2620000</v>
      </c>
      <c r="I32" s="16">
        <f>280597+0+2103493-1</f>
        <v>2384089</v>
      </c>
      <c r="J32" s="5">
        <f t="shared" si="0"/>
        <v>235911</v>
      </c>
      <c r="K32" s="5"/>
      <c r="L32" s="33"/>
    </row>
    <row r="33" spans="1:12" x14ac:dyDescent="0.25">
      <c r="A33" s="3"/>
      <c r="B33" s="3"/>
      <c r="C33" s="3"/>
      <c r="D33" s="3"/>
      <c r="E33" s="3">
        <v>36</v>
      </c>
      <c r="F33" s="3" t="s">
        <v>823</v>
      </c>
      <c r="G33" s="16"/>
      <c r="H33" s="16">
        <f>2985000+0+0</f>
        <v>2985000</v>
      </c>
      <c r="I33" s="16">
        <f>1097513+453883+389253</f>
        <v>1940649</v>
      </c>
      <c r="J33" s="5">
        <f t="shared" si="0"/>
        <v>1044351</v>
      </c>
      <c r="K33" s="5"/>
      <c r="L33" s="33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33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33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33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33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33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3" t="s">
        <v>44</v>
      </c>
      <c r="G39" s="28">
        <f>+G40+G41+G42+G66+G67+G68+G69</f>
        <v>15954.840000000007</v>
      </c>
      <c r="H39" s="28">
        <f>+H40+H41+H42+H66+H67+H68+H69</f>
        <v>15366</v>
      </c>
      <c r="I39" s="28">
        <f>+I40+I41+I42+I66+I67+I68+I69</f>
        <v>2063</v>
      </c>
      <c r="J39" s="28">
        <f>+J40+J41+J42+J66+J67+J68+J69</f>
        <v>29257.840000000007</v>
      </c>
      <c r="K39" s="28"/>
      <c r="L39" s="33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33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33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8">
        <f>SUM(J43:J65)</f>
        <v>28951.840000000007</v>
      </c>
      <c r="K42" s="7"/>
      <c r="L42" s="33"/>
    </row>
    <row r="43" spans="1:12" x14ac:dyDescent="0.25">
      <c r="A43" s="3"/>
      <c r="B43" s="3"/>
      <c r="C43" s="3"/>
      <c r="D43" s="3"/>
      <c r="E43" s="3">
        <v>4</v>
      </c>
      <c r="F43" s="3" t="s">
        <v>454</v>
      </c>
      <c r="G43" s="16">
        <v>15841</v>
      </c>
      <c r="H43" s="16">
        <f>0+51+2450</f>
        <v>2501</v>
      </c>
      <c r="I43" s="16"/>
      <c r="J43" s="5">
        <f t="shared" ref="J43:J65" si="1">+G43+H43-I43</f>
        <v>18342</v>
      </c>
      <c r="K43" s="5"/>
      <c r="L43" s="33"/>
    </row>
    <row r="44" spans="1:12" hidden="1" x14ac:dyDescent="0.25">
      <c r="A44" s="3"/>
      <c r="B44" s="3"/>
      <c r="C44" s="3"/>
      <c r="D44" s="3"/>
      <c r="E44" s="3">
        <v>7</v>
      </c>
      <c r="F44" s="3" t="s">
        <v>459</v>
      </c>
      <c r="G44" s="16">
        <v>0</v>
      </c>
      <c r="H44" s="16"/>
      <c r="I44" s="16"/>
      <c r="J44" s="5">
        <f t="shared" si="1"/>
        <v>0</v>
      </c>
      <c r="K44" s="5"/>
      <c r="L44" s="33"/>
    </row>
    <row r="45" spans="1:12" x14ac:dyDescent="0.25">
      <c r="A45" s="3"/>
      <c r="B45" s="3"/>
      <c r="C45" s="3"/>
      <c r="D45" s="3"/>
      <c r="E45" s="3">
        <v>8</v>
      </c>
      <c r="F45" s="3" t="s">
        <v>455</v>
      </c>
      <c r="G45" s="16">
        <v>0</v>
      </c>
      <c r="H45" s="16">
        <f>10000</f>
        <v>10000</v>
      </c>
      <c r="I45" s="16">
        <v>1000</v>
      </c>
      <c r="J45" s="5">
        <f t="shared" si="1"/>
        <v>9000</v>
      </c>
      <c r="K45" s="5"/>
      <c r="L45" s="33"/>
    </row>
    <row r="46" spans="1:12" hidden="1" x14ac:dyDescent="0.25">
      <c r="A46" s="3"/>
      <c r="B46" s="3"/>
      <c r="C46" s="3"/>
      <c r="D46" s="3"/>
      <c r="E46" s="3">
        <v>9</v>
      </c>
      <c r="F46" s="3" t="s">
        <v>456</v>
      </c>
      <c r="G46" s="16">
        <v>2.0000000000436557E-2</v>
      </c>
      <c r="H46" s="16"/>
      <c r="I46" s="16"/>
      <c r="J46" s="5">
        <f t="shared" si="1"/>
        <v>2.0000000000436557E-2</v>
      </c>
      <c r="K46" s="5"/>
      <c r="L46" s="33"/>
    </row>
    <row r="47" spans="1:12" hidden="1" x14ac:dyDescent="0.25">
      <c r="A47" s="3"/>
      <c r="B47" s="3"/>
      <c r="C47" s="3"/>
      <c r="D47" s="3"/>
      <c r="E47" s="3">
        <v>12</v>
      </c>
      <c r="F47" s="3" t="s">
        <v>457</v>
      </c>
      <c r="G47" s="16">
        <v>0</v>
      </c>
      <c r="H47" s="16"/>
      <c r="I47" s="16"/>
      <c r="J47" s="5">
        <f t="shared" si="1"/>
        <v>0</v>
      </c>
      <c r="K47" s="5"/>
      <c r="L47" s="33"/>
    </row>
    <row r="48" spans="1:12" hidden="1" x14ac:dyDescent="0.25">
      <c r="A48" s="3"/>
      <c r="B48" s="3"/>
      <c r="C48" s="3"/>
      <c r="D48" s="3"/>
      <c r="E48" s="3">
        <v>14</v>
      </c>
      <c r="F48" s="3" t="s">
        <v>460</v>
      </c>
      <c r="G48" s="16">
        <v>0</v>
      </c>
      <c r="H48" s="16"/>
      <c r="I48" s="16"/>
      <c r="J48" s="5">
        <f t="shared" si="1"/>
        <v>0</v>
      </c>
      <c r="K48" s="5"/>
      <c r="L48" s="33"/>
    </row>
    <row r="49" spans="1:12" hidden="1" x14ac:dyDescent="0.25">
      <c r="A49" s="3"/>
      <c r="B49" s="3"/>
      <c r="C49" s="3"/>
      <c r="D49" s="3"/>
      <c r="E49" s="3">
        <v>16</v>
      </c>
      <c r="F49" s="3" t="s">
        <v>584</v>
      </c>
      <c r="G49" s="16">
        <v>0</v>
      </c>
      <c r="H49" s="16"/>
      <c r="I49" s="16"/>
      <c r="J49" s="5">
        <f t="shared" si="1"/>
        <v>0</v>
      </c>
      <c r="K49" s="5"/>
      <c r="L49" s="33"/>
    </row>
    <row r="50" spans="1:12" hidden="1" x14ac:dyDescent="0.25">
      <c r="A50" s="3"/>
      <c r="B50" s="3"/>
      <c r="C50" s="3"/>
      <c r="D50" s="3"/>
      <c r="E50" s="3">
        <v>17</v>
      </c>
      <c r="F50" s="3" t="s">
        <v>585</v>
      </c>
      <c r="G50" s="16">
        <v>0</v>
      </c>
      <c r="H50" s="16"/>
      <c r="I50" s="16"/>
      <c r="J50" s="5">
        <f t="shared" si="1"/>
        <v>0</v>
      </c>
      <c r="K50" s="5"/>
      <c r="L50" s="33"/>
    </row>
    <row r="51" spans="1:12" hidden="1" x14ac:dyDescent="0.25">
      <c r="A51" s="3"/>
      <c r="B51" s="3"/>
      <c r="C51" s="3"/>
      <c r="D51" s="3"/>
      <c r="E51" s="3">
        <v>19</v>
      </c>
      <c r="F51" s="3" t="s">
        <v>458</v>
      </c>
      <c r="G51" s="16">
        <v>0</v>
      </c>
      <c r="H51" s="16"/>
      <c r="I51" s="16"/>
      <c r="J51" s="5">
        <f t="shared" si="1"/>
        <v>0</v>
      </c>
      <c r="K51" s="5"/>
      <c r="L51" s="33"/>
    </row>
    <row r="52" spans="1:12" hidden="1" x14ac:dyDescent="0.25">
      <c r="A52" s="3"/>
      <c r="B52" s="3"/>
      <c r="C52" s="3"/>
      <c r="D52" s="3"/>
      <c r="E52" s="3">
        <v>22</v>
      </c>
      <c r="F52" s="3" t="s">
        <v>461</v>
      </c>
      <c r="G52" s="16">
        <v>0</v>
      </c>
      <c r="H52" s="16"/>
      <c r="I52" s="16"/>
      <c r="J52" s="5">
        <f t="shared" si="1"/>
        <v>0</v>
      </c>
      <c r="K52" s="5"/>
      <c r="L52" s="33"/>
    </row>
    <row r="53" spans="1:12" hidden="1" x14ac:dyDescent="0.25">
      <c r="A53" s="3"/>
      <c r="B53" s="3"/>
      <c r="C53" s="3"/>
      <c r="D53" s="3"/>
      <c r="E53" s="3">
        <v>24</v>
      </c>
      <c r="F53" s="3" t="s">
        <v>586</v>
      </c>
      <c r="G53" s="16">
        <v>0</v>
      </c>
      <c r="H53" s="16"/>
      <c r="I53" s="16"/>
      <c r="J53" s="5">
        <f t="shared" si="1"/>
        <v>0</v>
      </c>
      <c r="K53" s="5"/>
      <c r="L53" s="33"/>
    </row>
    <row r="54" spans="1:12" hidden="1" x14ac:dyDescent="0.25">
      <c r="A54" s="3"/>
      <c r="B54" s="3"/>
      <c r="C54" s="3"/>
      <c r="D54" s="3"/>
      <c r="E54" s="3">
        <v>25</v>
      </c>
      <c r="F54" s="3" t="s">
        <v>694</v>
      </c>
      <c r="G54" s="16">
        <v>0</v>
      </c>
      <c r="H54" s="16"/>
      <c r="I54" s="16"/>
      <c r="J54" s="5">
        <f t="shared" si="1"/>
        <v>0</v>
      </c>
      <c r="K54" s="5"/>
      <c r="L54" s="33"/>
    </row>
    <row r="55" spans="1:12" hidden="1" x14ac:dyDescent="0.25">
      <c r="A55" s="3"/>
      <c r="B55" s="3"/>
      <c r="C55" s="3"/>
      <c r="D55" s="3"/>
      <c r="E55" s="3">
        <v>26</v>
      </c>
      <c r="F55" s="3" t="s">
        <v>702</v>
      </c>
      <c r="G55" s="16">
        <v>0</v>
      </c>
      <c r="H55" s="16"/>
      <c r="I55" s="16"/>
      <c r="J55" s="5">
        <f t="shared" si="1"/>
        <v>0</v>
      </c>
      <c r="K55" s="5"/>
      <c r="L55" s="33"/>
    </row>
    <row r="56" spans="1:12" hidden="1" x14ac:dyDescent="0.25">
      <c r="A56" s="3"/>
      <c r="B56" s="3"/>
      <c r="C56" s="3"/>
      <c r="D56" s="3"/>
      <c r="E56" s="3">
        <v>27</v>
      </c>
      <c r="F56" s="3" t="s">
        <v>703</v>
      </c>
      <c r="G56" s="16">
        <v>0</v>
      </c>
      <c r="H56" s="16"/>
      <c r="I56" s="16"/>
      <c r="J56" s="5">
        <f t="shared" si="1"/>
        <v>0</v>
      </c>
      <c r="K56" s="5"/>
      <c r="L56" s="33"/>
    </row>
    <row r="57" spans="1:12" hidden="1" x14ac:dyDescent="0.25">
      <c r="A57" s="3"/>
      <c r="B57" s="3"/>
      <c r="C57" s="3"/>
      <c r="D57" s="3"/>
      <c r="E57" s="3">
        <v>28</v>
      </c>
      <c r="F57" s="3" t="s">
        <v>704</v>
      </c>
      <c r="G57" s="16">
        <v>0</v>
      </c>
      <c r="H57" s="16"/>
      <c r="I57" s="16"/>
      <c r="J57" s="5">
        <f t="shared" si="1"/>
        <v>0</v>
      </c>
      <c r="K57" s="5"/>
      <c r="L57" s="33"/>
    </row>
    <row r="58" spans="1:12" x14ac:dyDescent="0.25">
      <c r="A58" s="3"/>
      <c r="B58" s="3"/>
      <c r="C58" s="3"/>
      <c r="D58" s="3"/>
      <c r="E58" s="3">
        <v>29</v>
      </c>
      <c r="F58" s="3" t="s">
        <v>713</v>
      </c>
      <c r="G58" s="16">
        <v>36</v>
      </c>
      <c r="H58" s="16"/>
      <c r="I58" s="16"/>
      <c r="J58" s="5">
        <f t="shared" si="1"/>
        <v>36</v>
      </c>
      <c r="K58" s="5"/>
      <c r="L58" s="33"/>
    </row>
    <row r="59" spans="1:12" x14ac:dyDescent="0.25">
      <c r="A59" s="3"/>
      <c r="B59" s="3"/>
      <c r="C59" s="3"/>
      <c r="D59" s="3"/>
      <c r="E59" s="3">
        <v>30</v>
      </c>
      <c r="F59" s="3" t="s">
        <v>711</v>
      </c>
      <c r="G59" s="16">
        <v>78</v>
      </c>
      <c r="H59" s="16">
        <f>67+1500+0</f>
        <v>1567</v>
      </c>
      <c r="I59" s="16">
        <f>67+4</f>
        <v>71</v>
      </c>
      <c r="J59" s="5">
        <f t="shared" si="1"/>
        <v>1574</v>
      </c>
      <c r="K59" s="5"/>
      <c r="L59" s="33"/>
    </row>
    <row r="60" spans="1:12" hidden="1" x14ac:dyDescent="0.25">
      <c r="A60" s="3"/>
      <c r="B60" s="3"/>
      <c r="C60" s="3"/>
      <c r="D60" s="3"/>
      <c r="E60" s="3">
        <v>31</v>
      </c>
      <c r="F60" s="3" t="s">
        <v>714</v>
      </c>
      <c r="G60" s="16">
        <v>0</v>
      </c>
      <c r="H60" s="16"/>
      <c r="I60" s="16"/>
      <c r="J60" s="5">
        <f t="shared" si="1"/>
        <v>0</v>
      </c>
      <c r="K60" s="5"/>
      <c r="L60" s="33"/>
    </row>
    <row r="61" spans="1:12" hidden="1" x14ac:dyDescent="0.25">
      <c r="A61" s="3"/>
      <c r="B61" s="3"/>
      <c r="C61" s="3"/>
      <c r="D61" s="3"/>
      <c r="E61" s="3">
        <v>32</v>
      </c>
      <c r="F61" s="3" t="s">
        <v>715</v>
      </c>
      <c r="G61" s="16">
        <v>0</v>
      </c>
      <c r="H61" s="16"/>
      <c r="I61" s="16"/>
      <c r="J61" s="5">
        <f t="shared" si="1"/>
        <v>0</v>
      </c>
      <c r="K61" s="5"/>
      <c r="L61" s="33"/>
    </row>
    <row r="62" spans="1:12" hidden="1" x14ac:dyDescent="0.25">
      <c r="A62" s="3"/>
      <c r="B62" s="3"/>
      <c r="C62" s="3"/>
      <c r="D62" s="3"/>
      <c r="E62" s="3" t="s">
        <v>462</v>
      </c>
      <c r="F62" s="3" t="s">
        <v>463</v>
      </c>
      <c r="G62" s="16">
        <v>-0.17999999999301508</v>
      </c>
      <c r="H62" s="16"/>
      <c r="I62" s="16"/>
      <c r="J62" s="5">
        <f t="shared" si="1"/>
        <v>-0.17999999999301508</v>
      </c>
      <c r="K62" s="5"/>
      <c r="L62" s="33"/>
    </row>
    <row r="63" spans="1:12" hidden="1" x14ac:dyDescent="0.25">
      <c r="A63" s="3"/>
      <c r="B63" s="3"/>
      <c r="C63" s="3"/>
      <c r="D63" s="3"/>
      <c r="E63" s="3" t="s">
        <v>464</v>
      </c>
      <c r="F63" s="3" t="s">
        <v>467</v>
      </c>
      <c r="G63" s="16">
        <v>0</v>
      </c>
      <c r="H63" s="16"/>
      <c r="I63" s="16"/>
      <c r="J63" s="5">
        <f t="shared" si="1"/>
        <v>0</v>
      </c>
      <c r="K63" s="5"/>
      <c r="L63" s="33"/>
    </row>
    <row r="64" spans="1:12" hidden="1" x14ac:dyDescent="0.25">
      <c r="A64" s="3"/>
      <c r="B64" s="3"/>
      <c r="C64" s="3"/>
      <c r="D64" s="3"/>
      <c r="E64" s="3" t="s">
        <v>587</v>
      </c>
      <c r="F64" s="3" t="s">
        <v>588</v>
      </c>
      <c r="G64" s="16">
        <v>0</v>
      </c>
      <c r="H64" s="16"/>
      <c r="I64" s="16"/>
      <c r="J64" s="5">
        <f t="shared" si="1"/>
        <v>0</v>
      </c>
      <c r="K64" s="5"/>
      <c r="L64" s="33"/>
    </row>
    <row r="65" spans="1:12" hidden="1" x14ac:dyDescent="0.25">
      <c r="A65" s="3"/>
      <c r="B65" s="3"/>
      <c r="C65" s="3"/>
      <c r="D65" s="3"/>
      <c r="E65" s="3" t="s">
        <v>465</v>
      </c>
      <c r="F65" s="3" t="s">
        <v>466</v>
      </c>
      <c r="G65" s="16">
        <v>0</v>
      </c>
      <c r="H65" s="16"/>
      <c r="I65" s="16"/>
      <c r="J65" s="5">
        <f t="shared" si="1"/>
        <v>0</v>
      </c>
      <c r="K65" s="5"/>
      <c r="L65" s="33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33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33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33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7">
        <f>G70</f>
        <v>0</v>
      </c>
      <c r="H69" s="17">
        <f>H70</f>
        <v>1298</v>
      </c>
      <c r="I69" s="17">
        <f>I70</f>
        <v>992</v>
      </c>
      <c r="J69" s="17">
        <f>J70</f>
        <v>306</v>
      </c>
      <c r="K69" s="17"/>
      <c r="L69" s="33"/>
    </row>
    <row r="70" spans="1:12" x14ac:dyDescent="0.25">
      <c r="A70" s="14"/>
      <c r="B70" s="14"/>
      <c r="C70" s="14"/>
      <c r="D70" s="14"/>
      <c r="E70" s="14"/>
      <c r="F70" s="14" t="s">
        <v>676</v>
      </c>
      <c r="G70" s="26">
        <v>0</v>
      </c>
      <c r="H70" s="26">
        <f>686+306+306</f>
        <v>1298</v>
      </c>
      <c r="I70" s="26">
        <f>685+306+1</f>
        <v>992</v>
      </c>
      <c r="J70" s="5">
        <f>+G70+H70-I70</f>
        <v>306</v>
      </c>
      <c r="K70" s="27"/>
      <c r="L70" s="33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33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33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33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33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33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33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33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33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33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33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33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33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33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33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33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33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33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33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33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33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33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9">
        <f>+G93+G98+G104+G114+G211+G222+G228+G236+G242</f>
        <v>3401307.94</v>
      </c>
      <c r="H92" s="29">
        <f>+H93+H98+H104+H114+H211+H222+H228+H236+H242</f>
        <v>0</v>
      </c>
      <c r="I92" s="29">
        <f>+I93+I98+I104+I114+I211+I222+I228+I236+I242</f>
        <v>181998.75</v>
      </c>
      <c r="J92" s="29">
        <f>+J93+J98+J104+J114+J211+J222+J228+J236+J242</f>
        <v>3219309.19</v>
      </c>
      <c r="K92" s="29"/>
      <c r="L92" s="33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33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33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33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33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33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33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33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33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33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33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33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33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33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33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33"/>
    </row>
    <row r="108" spans="1:12" x14ac:dyDescent="0.25">
      <c r="A108" s="3"/>
      <c r="B108" s="3"/>
      <c r="C108" s="3"/>
      <c r="D108" s="3"/>
      <c r="E108" s="3"/>
      <c r="F108" s="36" t="s">
        <v>543</v>
      </c>
      <c r="G108" s="37">
        <v>236544.33</v>
      </c>
      <c r="H108" s="5">
        <f t="shared" si="2"/>
        <v>0</v>
      </c>
      <c r="I108" s="5">
        <f t="shared" si="2"/>
        <v>0</v>
      </c>
      <c r="J108" s="37">
        <f>+G108+H108-I108</f>
        <v>236544.33</v>
      </c>
      <c r="K108" s="37"/>
      <c r="L108" s="33"/>
    </row>
    <row r="109" spans="1:12" x14ac:dyDescent="0.25">
      <c r="A109" s="3"/>
      <c r="B109" s="3"/>
      <c r="C109" s="3"/>
      <c r="D109" s="3"/>
      <c r="E109" s="3"/>
      <c r="F109" s="36" t="s">
        <v>544</v>
      </c>
      <c r="G109" s="37">
        <v>630876.26</v>
      </c>
      <c r="H109" s="5">
        <f t="shared" si="2"/>
        <v>0</v>
      </c>
      <c r="I109" s="5">
        <f t="shared" si="2"/>
        <v>0</v>
      </c>
      <c r="J109" s="37">
        <f>+G109+H109-I109</f>
        <v>630876.26</v>
      </c>
      <c r="K109" s="37"/>
      <c r="L109" s="33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33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33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33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33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33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33"/>
    </row>
    <row r="116" spans="1:12" x14ac:dyDescent="0.25">
      <c r="A116" s="3"/>
      <c r="B116" s="3"/>
      <c r="C116" s="3"/>
      <c r="D116" s="3"/>
      <c r="E116" s="3">
        <v>1</v>
      </c>
      <c r="F116" s="36" t="s">
        <v>468</v>
      </c>
      <c r="G116" s="37">
        <v>33925</v>
      </c>
      <c r="H116" s="37">
        <v>0</v>
      </c>
      <c r="I116" s="37">
        <v>31050</v>
      </c>
      <c r="J116" s="37">
        <f t="shared" ref="J116:J141" si="3">+G116+H116-I116</f>
        <v>2875</v>
      </c>
      <c r="K116" s="37"/>
      <c r="L116" s="33"/>
    </row>
    <row r="117" spans="1:12" x14ac:dyDescent="0.25">
      <c r="A117" s="3"/>
      <c r="B117" s="3"/>
      <c r="C117" s="3"/>
      <c r="D117" s="3"/>
      <c r="E117" s="3">
        <v>2</v>
      </c>
      <c r="F117" s="36" t="s">
        <v>469</v>
      </c>
      <c r="G117" s="37">
        <v>23719</v>
      </c>
      <c r="H117" s="37">
        <v>0</v>
      </c>
      <c r="I117" s="37">
        <v>0</v>
      </c>
      <c r="J117" s="37">
        <f t="shared" si="3"/>
        <v>23719</v>
      </c>
      <c r="K117" s="37"/>
      <c r="L117" s="33"/>
    </row>
    <row r="118" spans="1:12" x14ac:dyDescent="0.25">
      <c r="A118" s="3"/>
      <c r="B118" s="3"/>
      <c r="C118" s="3"/>
      <c r="D118" s="3"/>
      <c r="E118" s="3">
        <v>3</v>
      </c>
      <c r="F118" s="36" t="s">
        <v>470</v>
      </c>
      <c r="G118" s="37">
        <v>6789.99</v>
      </c>
      <c r="H118" s="37">
        <v>0</v>
      </c>
      <c r="I118" s="37">
        <v>1978</v>
      </c>
      <c r="J118" s="37">
        <f t="shared" si="3"/>
        <v>4811.99</v>
      </c>
      <c r="K118" s="37"/>
      <c r="L118" s="33"/>
    </row>
    <row r="119" spans="1:12" x14ac:dyDescent="0.25">
      <c r="A119" s="3"/>
      <c r="B119" s="3"/>
      <c r="C119" s="3"/>
      <c r="D119" s="3"/>
      <c r="E119" s="3">
        <v>4</v>
      </c>
      <c r="F119" s="36" t="s">
        <v>471</v>
      </c>
      <c r="G119" s="37">
        <v>137491</v>
      </c>
      <c r="H119" s="37">
        <v>0</v>
      </c>
      <c r="I119" s="37">
        <v>0</v>
      </c>
      <c r="J119" s="37">
        <f t="shared" si="3"/>
        <v>137491</v>
      </c>
      <c r="K119" s="37"/>
      <c r="L119" s="33"/>
    </row>
    <row r="120" spans="1:12" x14ac:dyDescent="0.25">
      <c r="A120" s="3"/>
      <c r="B120" s="3"/>
      <c r="C120" s="3"/>
      <c r="D120" s="3"/>
      <c r="E120" s="3">
        <v>5</v>
      </c>
      <c r="F120" s="36" t="s">
        <v>472</v>
      </c>
      <c r="G120" s="37">
        <v>17294.34</v>
      </c>
      <c r="H120" s="37">
        <v>0</v>
      </c>
      <c r="I120" s="37">
        <v>0</v>
      </c>
      <c r="J120" s="37">
        <f t="shared" si="3"/>
        <v>17294.34</v>
      </c>
      <c r="K120" s="37"/>
      <c r="L120" s="33"/>
    </row>
    <row r="121" spans="1:12" x14ac:dyDescent="0.25">
      <c r="A121" s="3"/>
      <c r="B121" s="3"/>
      <c r="C121" s="3"/>
      <c r="D121" s="3"/>
      <c r="E121" s="3">
        <v>6</v>
      </c>
      <c r="F121" s="36" t="s">
        <v>473</v>
      </c>
      <c r="G121" s="37">
        <v>1592.06</v>
      </c>
      <c r="H121" s="37">
        <v>0</v>
      </c>
      <c r="I121" s="37">
        <v>0</v>
      </c>
      <c r="J121" s="37">
        <f t="shared" si="3"/>
        <v>1592.06</v>
      </c>
      <c r="K121" s="37"/>
      <c r="L121" s="33"/>
    </row>
    <row r="122" spans="1:12" x14ac:dyDescent="0.25">
      <c r="A122" s="3"/>
      <c r="B122" s="3"/>
      <c r="C122" s="3"/>
      <c r="D122" s="3"/>
      <c r="E122" s="3">
        <v>7</v>
      </c>
      <c r="F122" s="36" t="s">
        <v>474</v>
      </c>
      <c r="G122" s="37">
        <v>4500</v>
      </c>
      <c r="H122" s="37">
        <v>0</v>
      </c>
      <c r="I122" s="37">
        <v>4500</v>
      </c>
      <c r="J122" s="37">
        <f t="shared" si="3"/>
        <v>0</v>
      </c>
      <c r="K122" s="37"/>
      <c r="L122" s="33"/>
    </row>
    <row r="123" spans="1:12" x14ac:dyDescent="0.25">
      <c r="A123" s="3"/>
      <c r="B123" s="3"/>
      <c r="C123" s="3"/>
      <c r="D123" s="3"/>
      <c r="E123" s="3">
        <v>8</v>
      </c>
      <c r="F123" s="36" t="s">
        <v>475</v>
      </c>
      <c r="G123" s="37">
        <v>15850.76</v>
      </c>
      <c r="H123" s="37">
        <v>0</v>
      </c>
      <c r="I123" s="37">
        <v>0</v>
      </c>
      <c r="J123" s="37">
        <f t="shared" si="3"/>
        <v>15850.76</v>
      </c>
      <c r="K123" s="37"/>
      <c r="L123" s="33"/>
    </row>
    <row r="124" spans="1:12" x14ac:dyDescent="0.25">
      <c r="A124" s="3"/>
      <c r="B124" s="3"/>
      <c r="C124" s="3"/>
      <c r="D124" s="3"/>
      <c r="E124" s="3">
        <v>9</v>
      </c>
      <c r="F124" s="36" t="s">
        <v>476</v>
      </c>
      <c r="G124" s="37">
        <v>5348.71</v>
      </c>
      <c r="H124" s="37">
        <v>0</v>
      </c>
      <c r="I124" s="37">
        <v>0</v>
      </c>
      <c r="J124" s="37">
        <f t="shared" si="3"/>
        <v>5348.71</v>
      </c>
      <c r="K124" s="37"/>
      <c r="L124" s="33"/>
    </row>
    <row r="125" spans="1:12" x14ac:dyDescent="0.25">
      <c r="A125" s="3"/>
      <c r="B125" s="3"/>
      <c r="C125" s="3"/>
      <c r="D125" s="3"/>
      <c r="E125" s="3">
        <v>10</v>
      </c>
      <c r="F125" s="36" t="s">
        <v>477</v>
      </c>
      <c r="G125" s="37">
        <v>3220</v>
      </c>
      <c r="H125" s="37">
        <v>0</v>
      </c>
      <c r="I125" s="37">
        <v>0</v>
      </c>
      <c r="J125" s="37">
        <f t="shared" si="3"/>
        <v>3220</v>
      </c>
      <c r="K125" s="37"/>
      <c r="L125" s="33"/>
    </row>
    <row r="126" spans="1:12" x14ac:dyDescent="0.25">
      <c r="A126" s="3"/>
      <c r="B126" s="3"/>
      <c r="C126" s="3"/>
      <c r="D126" s="3"/>
      <c r="E126" s="3">
        <v>11</v>
      </c>
      <c r="F126" s="36" t="s">
        <v>478</v>
      </c>
      <c r="G126" s="37">
        <v>1380</v>
      </c>
      <c r="H126" s="37">
        <v>0</v>
      </c>
      <c r="I126" s="37">
        <v>0</v>
      </c>
      <c r="J126" s="37">
        <f t="shared" si="3"/>
        <v>1380</v>
      </c>
      <c r="K126" s="37"/>
      <c r="L126" s="33"/>
    </row>
    <row r="127" spans="1:12" x14ac:dyDescent="0.25">
      <c r="A127" s="3"/>
      <c r="B127" s="3"/>
      <c r="C127" s="3"/>
      <c r="D127" s="3"/>
      <c r="E127" s="3">
        <v>12</v>
      </c>
      <c r="F127" s="36" t="s">
        <v>479</v>
      </c>
      <c r="G127" s="37">
        <v>7923.86</v>
      </c>
      <c r="H127" s="37">
        <v>0</v>
      </c>
      <c r="I127" s="37">
        <v>0</v>
      </c>
      <c r="J127" s="37">
        <f t="shared" si="3"/>
        <v>7923.86</v>
      </c>
      <c r="K127" s="37"/>
      <c r="L127" s="33"/>
    </row>
    <row r="128" spans="1:12" x14ac:dyDescent="0.25">
      <c r="A128" s="3"/>
      <c r="B128" s="3"/>
      <c r="C128" s="3"/>
      <c r="D128" s="3"/>
      <c r="E128" s="3">
        <v>13</v>
      </c>
      <c r="F128" s="36" t="s">
        <v>480</v>
      </c>
      <c r="G128" s="37">
        <v>4690.8500000000004</v>
      </c>
      <c r="H128" s="37">
        <v>0</v>
      </c>
      <c r="I128" s="37">
        <v>0</v>
      </c>
      <c r="J128" s="37">
        <f t="shared" si="3"/>
        <v>4690.8500000000004</v>
      </c>
      <c r="K128" s="37"/>
      <c r="L128" s="33"/>
    </row>
    <row r="129" spans="1:12" x14ac:dyDescent="0.25">
      <c r="A129" s="3"/>
      <c r="B129" s="3"/>
      <c r="C129" s="3"/>
      <c r="D129" s="3"/>
      <c r="E129" s="3">
        <v>14</v>
      </c>
      <c r="F129" s="36" t="s">
        <v>481</v>
      </c>
      <c r="G129" s="37">
        <v>1469</v>
      </c>
      <c r="H129" s="37">
        <v>0</v>
      </c>
      <c r="I129" s="37">
        <v>0</v>
      </c>
      <c r="J129" s="37">
        <f t="shared" si="3"/>
        <v>1469</v>
      </c>
      <c r="K129" s="37"/>
      <c r="L129" s="33"/>
    </row>
    <row r="130" spans="1:12" x14ac:dyDescent="0.25">
      <c r="A130" s="3"/>
      <c r="B130" s="3"/>
      <c r="C130" s="3"/>
      <c r="D130" s="3"/>
      <c r="E130" s="3">
        <v>15</v>
      </c>
      <c r="F130" s="36" t="s">
        <v>482</v>
      </c>
      <c r="G130" s="37">
        <v>4907.96</v>
      </c>
      <c r="H130" s="37">
        <v>0</v>
      </c>
      <c r="I130" s="37">
        <v>0</v>
      </c>
      <c r="J130" s="37">
        <f t="shared" si="3"/>
        <v>4907.96</v>
      </c>
      <c r="K130" s="37"/>
      <c r="L130" s="33"/>
    </row>
    <row r="131" spans="1:12" x14ac:dyDescent="0.25">
      <c r="A131" s="3"/>
      <c r="B131" s="3"/>
      <c r="C131" s="3"/>
      <c r="D131" s="3"/>
      <c r="E131" s="3">
        <v>16</v>
      </c>
      <c r="F131" s="36" t="s">
        <v>483</v>
      </c>
      <c r="G131" s="37">
        <v>4338</v>
      </c>
      <c r="H131" s="37">
        <v>0</v>
      </c>
      <c r="I131" s="37">
        <v>0</v>
      </c>
      <c r="J131" s="37">
        <f t="shared" si="3"/>
        <v>4338</v>
      </c>
      <c r="K131" s="37"/>
      <c r="L131" s="33"/>
    </row>
    <row r="132" spans="1:12" x14ac:dyDescent="0.25">
      <c r="A132" s="3"/>
      <c r="B132" s="3"/>
      <c r="C132" s="3"/>
      <c r="D132" s="3"/>
      <c r="E132" s="3">
        <v>17</v>
      </c>
      <c r="F132" s="36" t="s">
        <v>484</v>
      </c>
      <c r="G132" s="37">
        <v>3314.73</v>
      </c>
      <c r="H132" s="37">
        <v>0</v>
      </c>
      <c r="I132" s="37">
        <v>908</v>
      </c>
      <c r="J132" s="37">
        <f t="shared" si="3"/>
        <v>2406.73</v>
      </c>
      <c r="K132" s="37"/>
      <c r="L132" s="33"/>
    </row>
    <row r="133" spans="1:12" x14ac:dyDescent="0.25">
      <c r="A133" s="3"/>
      <c r="B133" s="3"/>
      <c r="C133" s="3"/>
      <c r="D133" s="3"/>
      <c r="E133" s="3">
        <v>18</v>
      </c>
      <c r="F133" s="36" t="s">
        <v>485</v>
      </c>
      <c r="G133" s="37">
        <v>1274.9100000000001</v>
      </c>
      <c r="H133" s="37">
        <v>0</v>
      </c>
      <c r="I133" s="37">
        <v>0</v>
      </c>
      <c r="J133" s="37">
        <f t="shared" si="3"/>
        <v>1274.9100000000001</v>
      </c>
      <c r="K133" s="37"/>
      <c r="L133" s="33"/>
    </row>
    <row r="134" spans="1:12" x14ac:dyDescent="0.25">
      <c r="A134" s="3"/>
      <c r="B134" s="3"/>
      <c r="C134" s="3"/>
      <c r="D134" s="3"/>
      <c r="E134" s="3">
        <v>19</v>
      </c>
      <c r="F134" s="36" t="s">
        <v>486</v>
      </c>
      <c r="G134" s="37">
        <v>2699</v>
      </c>
      <c r="H134" s="37">
        <v>0</v>
      </c>
      <c r="I134" s="37">
        <v>0</v>
      </c>
      <c r="J134" s="37">
        <f t="shared" si="3"/>
        <v>2699</v>
      </c>
      <c r="K134" s="37"/>
      <c r="L134" s="33"/>
    </row>
    <row r="135" spans="1:12" x14ac:dyDescent="0.25">
      <c r="A135" s="3"/>
      <c r="B135" s="3"/>
      <c r="C135" s="3"/>
      <c r="D135" s="3"/>
      <c r="E135" s="3">
        <v>20</v>
      </c>
      <c r="F135" s="36" t="s">
        <v>545</v>
      </c>
      <c r="G135" s="37">
        <v>9920</v>
      </c>
      <c r="H135" s="37">
        <v>0</v>
      </c>
      <c r="I135" s="37">
        <v>0</v>
      </c>
      <c r="J135" s="37">
        <f t="shared" si="3"/>
        <v>9920</v>
      </c>
      <c r="K135" s="37"/>
      <c r="L135" s="33"/>
    </row>
    <row r="136" spans="1:12" x14ac:dyDescent="0.25">
      <c r="A136" s="35">
        <v>1</v>
      </c>
      <c r="B136" s="35">
        <v>2</v>
      </c>
      <c r="C136" s="3">
        <v>4</v>
      </c>
      <c r="D136" s="3">
        <v>2</v>
      </c>
      <c r="E136" s="3"/>
      <c r="F136" s="3" t="s">
        <v>132</v>
      </c>
      <c r="G136" s="30">
        <f>SUM(G137:G141)</f>
        <v>849685.39</v>
      </c>
      <c r="H136" s="43"/>
      <c r="I136" s="43"/>
      <c r="J136" s="30">
        <f>SUM(J137:J141)</f>
        <v>849685.39</v>
      </c>
      <c r="K136" s="31"/>
      <c r="L136" s="33"/>
    </row>
    <row r="137" spans="1:12" x14ac:dyDescent="0.25">
      <c r="A137" s="33"/>
      <c r="B137" s="33"/>
      <c r="C137" s="3"/>
      <c r="D137" s="3"/>
      <c r="E137" s="3">
        <v>1</v>
      </c>
      <c r="F137" s="36" t="s">
        <v>487</v>
      </c>
      <c r="G137" s="37">
        <f>752484.09+1</f>
        <v>752485.09</v>
      </c>
      <c r="H137" s="37">
        <v>0</v>
      </c>
      <c r="I137" s="37">
        <v>0</v>
      </c>
      <c r="J137" s="37">
        <f t="shared" si="3"/>
        <v>752485.09</v>
      </c>
      <c r="K137" s="37"/>
      <c r="L137" s="33"/>
    </row>
    <row r="138" spans="1:12" x14ac:dyDescent="0.25">
      <c r="A138" s="33"/>
      <c r="B138" s="33"/>
      <c r="C138" s="3"/>
      <c r="D138" s="3"/>
      <c r="E138" s="3">
        <v>2</v>
      </c>
      <c r="F138" s="36" t="s">
        <v>488</v>
      </c>
      <c r="G138" s="37">
        <v>4800</v>
      </c>
      <c r="H138" s="37">
        <v>0</v>
      </c>
      <c r="I138" s="37">
        <v>0</v>
      </c>
      <c r="J138" s="37">
        <f t="shared" si="3"/>
        <v>4800</v>
      </c>
      <c r="K138" s="37"/>
      <c r="L138" s="33"/>
    </row>
    <row r="139" spans="1:12" x14ac:dyDescent="0.25">
      <c r="A139" s="33"/>
      <c r="B139" s="33"/>
      <c r="C139" s="3"/>
      <c r="D139" s="3"/>
      <c r="E139" s="3">
        <v>3</v>
      </c>
      <c r="F139" s="36" t="s">
        <v>489</v>
      </c>
      <c r="G139" s="37">
        <v>506</v>
      </c>
      <c r="H139" s="37">
        <v>0</v>
      </c>
      <c r="I139" s="37">
        <v>0</v>
      </c>
      <c r="J139" s="37">
        <f t="shared" si="3"/>
        <v>506</v>
      </c>
      <c r="K139" s="37"/>
      <c r="L139" s="33"/>
    </row>
    <row r="140" spans="1:12" x14ac:dyDescent="0.25">
      <c r="A140" s="33"/>
      <c r="B140" s="33"/>
      <c r="C140" s="3"/>
      <c r="D140" s="3"/>
      <c r="E140" s="3">
        <v>4</v>
      </c>
      <c r="F140" s="36" t="s">
        <v>490</v>
      </c>
      <c r="G140" s="37">
        <v>10667.5</v>
      </c>
      <c r="H140" s="37">
        <v>0</v>
      </c>
      <c r="I140" s="37">
        <v>0</v>
      </c>
      <c r="J140" s="37">
        <f t="shared" si="3"/>
        <v>10667.5</v>
      </c>
      <c r="K140" s="37"/>
      <c r="L140" s="33"/>
    </row>
    <row r="141" spans="1:12" x14ac:dyDescent="0.25">
      <c r="A141" s="33"/>
      <c r="B141" s="33"/>
      <c r="C141" s="3"/>
      <c r="D141" s="3"/>
      <c r="E141" s="3">
        <v>5</v>
      </c>
      <c r="F141" s="36" t="s">
        <v>491</v>
      </c>
      <c r="G141" s="37">
        <v>81226.8</v>
      </c>
      <c r="H141" s="37">
        <v>0</v>
      </c>
      <c r="I141" s="37">
        <v>0</v>
      </c>
      <c r="J141" s="37">
        <f t="shared" si="3"/>
        <v>81226.8</v>
      </c>
      <c r="K141" s="37"/>
      <c r="L141" s="33"/>
    </row>
    <row r="142" spans="1:12" x14ac:dyDescent="0.25">
      <c r="A142" s="35">
        <v>1</v>
      </c>
      <c r="B142" s="35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33"/>
    </row>
    <row r="143" spans="1:12" x14ac:dyDescent="0.25">
      <c r="A143" s="35">
        <v>1</v>
      </c>
      <c r="B143" s="35">
        <v>2</v>
      </c>
      <c r="C143" s="3">
        <v>4</v>
      </c>
      <c r="D143" s="3">
        <v>4</v>
      </c>
      <c r="E143" s="3"/>
      <c r="F143" s="3" t="s">
        <v>134</v>
      </c>
      <c r="G143" s="30">
        <f>SUM(G144:G150)</f>
        <v>613500</v>
      </c>
      <c r="H143" s="30">
        <f>SUM(H144:H150)</f>
        <v>0</v>
      </c>
      <c r="I143" s="30">
        <f>SUM(I144:I150)</f>
        <v>0</v>
      </c>
      <c r="J143" s="30">
        <f>SUM(J144:J150)</f>
        <v>613500</v>
      </c>
      <c r="K143" s="30"/>
      <c r="L143" s="33"/>
    </row>
    <row r="144" spans="1:12" x14ac:dyDescent="0.25">
      <c r="A144" s="33"/>
      <c r="B144" s="33"/>
      <c r="C144" s="3"/>
      <c r="D144" s="3"/>
      <c r="E144" s="3"/>
      <c r="F144" s="36" t="s">
        <v>492</v>
      </c>
      <c r="G144" s="37">
        <v>0</v>
      </c>
      <c r="H144" s="37">
        <v>0</v>
      </c>
      <c r="I144" s="37">
        <v>0</v>
      </c>
      <c r="J144" s="37">
        <f t="shared" ref="J144:J150" si="4">+G144+H144-I144</f>
        <v>0</v>
      </c>
      <c r="K144" s="37"/>
      <c r="L144" s="33"/>
    </row>
    <row r="145" spans="1:12" x14ac:dyDescent="0.25">
      <c r="A145" s="33"/>
      <c r="B145" s="33"/>
      <c r="C145" s="3"/>
      <c r="D145" s="3"/>
      <c r="E145" s="3"/>
      <c r="F145" s="36" t="s">
        <v>493</v>
      </c>
      <c r="G145" s="37">
        <v>169900</v>
      </c>
      <c r="H145" s="37">
        <v>0</v>
      </c>
      <c r="I145" s="37">
        <v>0</v>
      </c>
      <c r="J145" s="37">
        <f t="shared" si="4"/>
        <v>169900</v>
      </c>
      <c r="K145" s="37"/>
      <c r="L145" s="33"/>
    </row>
    <row r="146" spans="1:12" x14ac:dyDescent="0.25">
      <c r="A146" s="33"/>
      <c r="B146" s="33"/>
      <c r="C146" s="3"/>
      <c r="D146" s="3"/>
      <c r="E146" s="3"/>
      <c r="F146" s="36" t="s">
        <v>494</v>
      </c>
      <c r="G146" s="37">
        <v>0</v>
      </c>
      <c r="H146" s="37">
        <v>0</v>
      </c>
      <c r="I146" s="37">
        <v>0</v>
      </c>
      <c r="J146" s="37">
        <f t="shared" si="4"/>
        <v>0</v>
      </c>
      <c r="K146" s="37"/>
      <c r="L146" s="33"/>
    </row>
    <row r="147" spans="1:12" x14ac:dyDescent="0.25">
      <c r="A147" s="33"/>
      <c r="B147" s="33"/>
      <c r="C147" s="3"/>
      <c r="D147" s="3"/>
      <c r="E147" s="3"/>
      <c r="F147" s="36" t="s">
        <v>495</v>
      </c>
      <c r="G147" s="37">
        <v>0</v>
      </c>
      <c r="H147" s="37">
        <v>0</v>
      </c>
      <c r="I147" s="37">
        <v>0</v>
      </c>
      <c r="J147" s="37">
        <f t="shared" si="4"/>
        <v>0</v>
      </c>
      <c r="K147" s="37"/>
      <c r="L147" s="33"/>
    </row>
    <row r="148" spans="1:12" x14ac:dyDescent="0.25">
      <c r="A148" s="33"/>
      <c r="B148" s="33"/>
      <c r="C148" s="3"/>
      <c r="D148" s="3"/>
      <c r="E148" s="3"/>
      <c r="F148" s="36" t="s">
        <v>496</v>
      </c>
      <c r="G148" s="37">
        <v>0</v>
      </c>
      <c r="H148" s="37">
        <v>0</v>
      </c>
      <c r="I148" s="37">
        <v>0</v>
      </c>
      <c r="J148" s="37">
        <f t="shared" si="4"/>
        <v>0</v>
      </c>
      <c r="K148" s="37"/>
      <c r="L148" s="33"/>
    </row>
    <row r="149" spans="1:12" x14ac:dyDescent="0.25">
      <c r="A149" s="33"/>
      <c r="B149" s="33"/>
      <c r="C149" s="3"/>
      <c r="D149" s="3"/>
      <c r="E149" s="3"/>
      <c r="F149" s="36" t="s">
        <v>497</v>
      </c>
      <c r="G149" s="37">
        <v>303900</v>
      </c>
      <c r="H149" s="37">
        <v>0</v>
      </c>
      <c r="I149" s="37">
        <v>0</v>
      </c>
      <c r="J149" s="37">
        <f t="shared" si="4"/>
        <v>303900</v>
      </c>
      <c r="K149" s="37"/>
      <c r="L149" s="33"/>
    </row>
    <row r="150" spans="1:12" x14ac:dyDescent="0.25">
      <c r="A150" s="33"/>
      <c r="B150" s="33"/>
      <c r="C150" s="3"/>
      <c r="D150" s="3"/>
      <c r="E150" s="3"/>
      <c r="F150" s="36" t="s">
        <v>579</v>
      </c>
      <c r="G150" s="37">
        <v>139700</v>
      </c>
      <c r="H150" s="37">
        <v>0</v>
      </c>
      <c r="I150" s="37">
        <v>0</v>
      </c>
      <c r="J150" s="37">
        <f t="shared" si="4"/>
        <v>139700</v>
      </c>
      <c r="K150" s="37"/>
      <c r="L150" s="33"/>
    </row>
    <row r="151" spans="1:12" x14ac:dyDescent="0.25">
      <c r="A151" s="35">
        <v>1</v>
      </c>
      <c r="B151" s="35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33"/>
    </row>
    <row r="152" spans="1:12" x14ac:dyDescent="0.25">
      <c r="A152" s="35">
        <v>1</v>
      </c>
      <c r="B152" s="35">
        <v>2</v>
      </c>
      <c r="C152" s="3">
        <v>4</v>
      </c>
      <c r="D152" s="3">
        <v>6</v>
      </c>
      <c r="E152" s="3"/>
      <c r="F152" s="3" t="s">
        <v>136</v>
      </c>
      <c r="G152" s="30">
        <f>SUM(G153:G208)</f>
        <v>733340.71000000008</v>
      </c>
      <c r="H152" s="30">
        <f>SUM(H153:H208)</f>
        <v>0</v>
      </c>
      <c r="I152" s="30">
        <f>SUM(I153:I208)</f>
        <v>143562.75</v>
      </c>
      <c r="J152" s="30">
        <f>SUM(J153:J208)</f>
        <v>589777.96000000008</v>
      </c>
      <c r="K152" s="30"/>
      <c r="L152" s="33"/>
    </row>
    <row r="153" spans="1:12" x14ac:dyDescent="0.25">
      <c r="A153" s="33"/>
      <c r="B153" s="33"/>
      <c r="C153" s="3"/>
      <c r="D153" s="3"/>
      <c r="E153" s="3">
        <v>1</v>
      </c>
      <c r="F153" s="36" t="s">
        <v>498</v>
      </c>
      <c r="G153" s="37">
        <v>12834.77</v>
      </c>
      <c r="H153" s="37">
        <v>0</v>
      </c>
      <c r="I153" s="37">
        <v>0</v>
      </c>
      <c r="J153" s="37">
        <f t="shared" ref="J153:J208" si="5">+G153+H153-I153</f>
        <v>12834.77</v>
      </c>
      <c r="K153" s="37"/>
      <c r="L153" s="33"/>
    </row>
    <row r="154" spans="1:12" x14ac:dyDescent="0.25">
      <c r="A154" s="33"/>
      <c r="B154" s="33"/>
      <c r="C154" s="3"/>
      <c r="D154" s="3"/>
      <c r="E154" s="3">
        <v>2</v>
      </c>
      <c r="F154" s="36" t="s">
        <v>499</v>
      </c>
      <c r="G154" s="37">
        <v>22712.5</v>
      </c>
      <c r="H154" s="37">
        <v>0</v>
      </c>
      <c r="I154" s="37">
        <v>22712.5</v>
      </c>
      <c r="J154" s="37">
        <f t="shared" si="5"/>
        <v>0</v>
      </c>
      <c r="K154" s="37"/>
      <c r="L154" s="33"/>
    </row>
    <row r="155" spans="1:12" x14ac:dyDescent="0.25">
      <c r="A155" s="33"/>
      <c r="B155" s="33"/>
      <c r="C155" s="3"/>
      <c r="D155" s="3"/>
      <c r="E155" s="3">
        <v>3</v>
      </c>
      <c r="F155" s="36" t="s">
        <v>500</v>
      </c>
      <c r="G155" s="37">
        <v>69147.199999999997</v>
      </c>
      <c r="H155" s="37">
        <v>0</v>
      </c>
      <c r="I155" s="37">
        <v>0</v>
      </c>
      <c r="J155" s="37">
        <f t="shared" si="5"/>
        <v>69147.199999999997</v>
      </c>
      <c r="K155" s="37"/>
      <c r="L155" s="33"/>
    </row>
    <row r="156" spans="1:12" x14ac:dyDescent="0.25">
      <c r="A156" s="33"/>
      <c r="B156" s="33"/>
      <c r="C156" s="3"/>
      <c r="D156" s="3"/>
      <c r="E156" s="3">
        <v>4</v>
      </c>
      <c r="F156" s="36" t="s">
        <v>501</v>
      </c>
      <c r="G156" s="37">
        <v>2547.25</v>
      </c>
      <c r="H156" s="37">
        <v>0</v>
      </c>
      <c r="I156" s="37">
        <v>2547.25</v>
      </c>
      <c r="J156" s="37">
        <f t="shared" si="5"/>
        <v>0</v>
      </c>
      <c r="K156" s="37"/>
      <c r="L156" s="33"/>
    </row>
    <row r="157" spans="1:12" x14ac:dyDescent="0.25">
      <c r="A157" s="33"/>
      <c r="B157" s="33"/>
      <c r="C157" s="3"/>
      <c r="D157" s="3"/>
      <c r="E157" s="3">
        <v>5</v>
      </c>
      <c r="F157" s="36" t="s">
        <v>502</v>
      </c>
      <c r="G157" s="37">
        <v>46977.5</v>
      </c>
      <c r="H157" s="37">
        <v>0</v>
      </c>
      <c r="I157" s="37">
        <v>18687.5</v>
      </c>
      <c r="J157" s="37">
        <f t="shared" si="5"/>
        <v>28290</v>
      </c>
      <c r="K157" s="37"/>
      <c r="L157" s="33"/>
    </row>
    <row r="158" spans="1:12" x14ac:dyDescent="0.25">
      <c r="A158" s="33"/>
      <c r="B158" s="33"/>
      <c r="C158" s="3"/>
      <c r="D158" s="3"/>
      <c r="E158" s="3">
        <v>6</v>
      </c>
      <c r="F158" s="36" t="s">
        <v>503</v>
      </c>
      <c r="G158" s="37">
        <v>21620</v>
      </c>
      <c r="H158" s="37">
        <v>0</v>
      </c>
      <c r="I158" s="37">
        <v>0</v>
      </c>
      <c r="J158" s="37">
        <f t="shared" si="5"/>
        <v>21620</v>
      </c>
      <c r="K158" s="37"/>
      <c r="L158" s="33"/>
    </row>
    <row r="159" spans="1:12" x14ac:dyDescent="0.25">
      <c r="A159" s="33"/>
      <c r="B159" s="33"/>
      <c r="C159" s="3"/>
      <c r="D159" s="3"/>
      <c r="E159" s="3">
        <v>7</v>
      </c>
      <c r="F159" s="36" t="s">
        <v>504</v>
      </c>
      <c r="G159" s="37">
        <v>690</v>
      </c>
      <c r="H159" s="37">
        <v>0</v>
      </c>
      <c r="I159" s="37">
        <v>0</v>
      </c>
      <c r="J159" s="37">
        <f t="shared" si="5"/>
        <v>690</v>
      </c>
      <c r="K159" s="37"/>
      <c r="L159" s="33"/>
    </row>
    <row r="160" spans="1:12" x14ac:dyDescent="0.25">
      <c r="A160" s="33"/>
      <c r="B160" s="33"/>
      <c r="C160" s="3"/>
      <c r="D160" s="3"/>
      <c r="E160" s="3">
        <v>8</v>
      </c>
      <c r="F160" s="36" t="s">
        <v>505</v>
      </c>
      <c r="G160" s="37">
        <v>1150</v>
      </c>
      <c r="H160" s="37">
        <v>0</v>
      </c>
      <c r="I160" s="37">
        <v>0</v>
      </c>
      <c r="J160" s="37">
        <f t="shared" si="5"/>
        <v>1150</v>
      </c>
      <c r="K160" s="37"/>
      <c r="L160" s="33"/>
    </row>
    <row r="161" spans="1:12" x14ac:dyDescent="0.25">
      <c r="A161" s="33"/>
      <c r="B161" s="33"/>
      <c r="C161" s="3"/>
      <c r="D161" s="3"/>
      <c r="E161" s="3">
        <v>9</v>
      </c>
      <c r="F161" s="36" t="s">
        <v>506</v>
      </c>
      <c r="G161" s="37">
        <v>120367.62</v>
      </c>
      <c r="H161" s="37">
        <v>0</v>
      </c>
      <c r="I161" s="37">
        <v>0</v>
      </c>
      <c r="J161" s="37">
        <f t="shared" si="5"/>
        <v>120367.62</v>
      </c>
      <c r="K161" s="37"/>
      <c r="L161" s="33"/>
    </row>
    <row r="162" spans="1:12" x14ac:dyDescent="0.25">
      <c r="A162" s="33"/>
      <c r="B162" s="33"/>
      <c r="C162" s="3"/>
      <c r="D162" s="3"/>
      <c r="E162" s="3">
        <v>10</v>
      </c>
      <c r="F162" s="36" t="s">
        <v>507</v>
      </c>
      <c r="G162" s="37">
        <v>1299.01</v>
      </c>
      <c r="H162" s="37">
        <v>0</v>
      </c>
      <c r="I162" s="37">
        <v>0</v>
      </c>
      <c r="J162" s="37">
        <f t="shared" si="5"/>
        <v>1299.01</v>
      </c>
      <c r="K162" s="37"/>
      <c r="L162" s="33"/>
    </row>
    <row r="163" spans="1:12" x14ac:dyDescent="0.25">
      <c r="A163" s="33"/>
      <c r="B163" s="33"/>
      <c r="C163" s="3"/>
      <c r="D163" s="3"/>
      <c r="E163" s="3">
        <v>11</v>
      </c>
      <c r="F163" s="36" t="s">
        <v>508</v>
      </c>
      <c r="G163" s="37">
        <v>1849</v>
      </c>
      <c r="H163" s="37">
        <v>0</v>
      </c>
      <c r="I163" s="37">
        <v>0</v>
      </c>
      <c r="J163" s="37">
        <f t="shared" si="5"/>
        <v>1849</v>
      </c>
      <c r="K163" s="37"/>
      <c r="L163" s="33"/>
    </row>
    <row r="164" spans="1:12" x14ac:dyDescent="0.25">
      <c r="A164" s="33"/>
      <c r="B164" s="33"/>
      <c r="C164" s="3"/>
      <c r="D164" s="3"/>
      <c r="E164" s="3">
        <v>12</v>
      </c>
      <c r="F164" s="36" t="s">
        <v>509</v>
      </c>
      <c r="G164" s="37">
        <v>16499</v>
      </c>
      <c r="H164" s="37">
        <v>0</v>
      </c>
      <c r="I164" s="37">
        <v>0</v>
      </c>
      <c r="J164" s="37">
        <f t="shared" si="5"/>
        <v>16499</v>
      </c>
      <c r="K164" s="37"/>
      <c r="L164" s="33"/>
    </row>
    <row r="165" spans="1:12" x14ac:dyDescent="0.25">
      <c r="A165" s="33"/>
      <c r="B165" s="33"/>
      <c r="C165" s="3"/>
      <c r="D165" s="3"/>
      <c r="E165" s="3">
        <v>13</v>
      </c>
      <c r="F165" s="36" t="s">
        <v>510</v>
      </c>
      <c r="G165" s="37">
        <v>6250</v>
      </c>
      <c r="H165" s="37">
        <v>0</v>
      </c>
      <c r="I165" s="37">
        <v>6250</v>
      </c>
      <c r="J165" s="37">
        <f t="shared" si="5"/>
        <v>0</v>
      </c>
      <c r="K165" s="37"/>
      <c r="L165" s="33"/>
    </row>
    <row r="166" spans="1:12" x14ac:dyDescent="0.25">
      <c r="A166" s="33"/>
      <c r="B166" s="33"/>
      <c r="C166" s="3"/>
      <c r="D166" s="3"/>
      <c r="E166" s="3">
        <v>14</v>
      </c>
      <c r="F166" s="36" t="s">
        <v>510</v>
      </c>
      <c r="G166" s="37">
        <v>6250</v>
      </c>
      <c r="H166" s="37">
        <v>0</v>
      </c>
      <c r="I166" s="37">
        <v>0</v>
      </c>
      <c r="J166" s="37">
        <f t="shared" si="5"/>
        <v>6250</v>
      </c>
      <c r="K166" s="37"/>
      <c r="L166" s="33"/>
    </row>
    <row r="167" spans="1:12" x14ac:dyDescent="0.25">
      <c r="A167" s="33"/>
      <c r="B167" s="33"/>
      <c r="C167" s="3"/>
      <c r="D167" s="3"/>
      <c r="E167" s="3">
        <v>15</v>
      </c>
      <c r="F167" s="36" t="s">
        <v>510</v>
      </c>
      <c r="G167" s="37">
        <v>6250</v>
      </c>
      <c r="H167" s="37">
        <v>0</v>
      </c>
      <c r="I167" s="37">
        <v>0</v>
      </c>
      <c r="J167" s="37">
        <f t="shared" si="5"/>
        <v>6250</v>
      </c>
      <c r="K167" s="37"/>
      <c r="L167" s="33"/>
    </row>
    <row r="168" spans="1:12" x14ac:dyDescent="0.25">
      <c r="A168" s="33"/>
      <c r="B168" s="33"/>
      <c r="C168" s="3"/>
      <c r="D168" s="3"/>
      <c r="E168" s="3">
        <v>16</v>
      </c>
      <c r="F168" s="36" t="s">
        <v>510</v>
      </c>
      <c r="G168" s="37">
        <v>6250</v>
      </c>
      <c r="H168" s="37">
        <v>0</v>
      </c>
      <c r="I168" s="37">
        <v>0</v>
      </c>
      <c r="J168" s="37">
        <f t="shared" si="5"/>
        <v>6250</v>
      </c>
      <c r="K168" s="37"/>
      <c r="L168" s="33"/>
    </row>
    <row r="169" spans="1:12" x14ac:dyDescent="0.25">
      <c r="A169" s="33"/>
      <c r="B169" s="33"/>
      <c r="C169" s="3"/>
      <c r="D169" s="3"/>
      <c r="E169" s="3">
        <v>17</v>
      </c>
      <c r="F169" s="36" t="s">
        <v>511</v>
      </c>
      <c r="G169" s="37">
        <v>7650</v>
      </c>
      <c r="H169" s="37">
        <v>0</v>
      </c>
      <c r="I169" s="37">
        <v>0</v>
      </c>
      <c r="J169" s="37">
        <f t="shared" si="5"/>
        <v>7650</v>
      </c>
      <c r="K169" s="37"/>
      <c r="L169" s="33"/>
    </row>
    <row r="170" spans="1:12" x14ac:dyDescent="0.25">
      <c r="A170" s="33"/>
      <c r="B170" s="33"/>
      <c r="C170" s="3"/>
      <c r="D170" s="3"/>
      <c r="E170" s="3">
        <v>18</v>
      </c>
      <c r="F170" s="36" t="s">
        <v>512</v>
      </c>
      <c r="G170" s="37">
        <v>2204</v>
      </c>
      <c r="H170" s="37">
        <v>0</v>
      </c>
      <c r="I170" s="37">
        <v>0</v>
      </c>
      <c r="J170" s="37">
        <f t="shared" si="5"/>
        <v>2204</v>
      </c>
      <c r="K170" s="37"/>
      <c r="L170" s="33"/>
    </row>
    <row r="171" spans="1:12" x14ac:dyDescent="0.25">
      <c r="A171" s="33"/>
      <c r="B171" s="33"/>
      <c r="C171" s="3"/>
      <c r="D171" s="3"/>
      <c r="E171" s="3">
        <v>19</v>
      </c>
      <c r="F171" s="36" t="s">
        <v>551</v>
      </c>
      <c r="G171" s="37">
        <v>10546.25</v>
      </c>
      <c r="H171" s="37">
        <v>0</v>
      </c>
      <c r="I171" s="37">
        <v>9832</v>
      </c>
      <c r="J171" s="37">
        <f t="shared" si="5"/>
        <v>714.25</v>
      </c>
      <c r="K171" s="37"/>
      <c r="L171" s="33"/>
    </row>
    <row r="172" spans="1:12" x14ac:dyDescent="0.25">
      <c r="A172" s="33"/>
      <c r="B172" s="33"/>
      <c r="C172" s="3"/>
      <c r="D172" s="3"/>
      <c r="E172" s="3">
        <v>20</v>
      </c>
      <c r="F172" s="36" t="s">
        <v>552</v>
      </c>
      <c r="G172" s="37">
        <v>8538.75</v>
      </c>
      <c r="H172" s="37">
        <v>0</v>
      </c>
      <c r="I172" s="37">
        <v>8539</v>
      </c>
      <c r="J172" s="37">
        <f t="shared" si="5"/>
        <v>-0.25</v>
      </c>
      <c r="K172" s="37"/>
      <c r="L172" s="33"/>
    </row>
    <row r="173" spans="1:12" x14ac:dyDescent="0.25">
      <c r="A173" s="33"/>
      <c r="B173" s="33"/>
      <c r="C173" s="3"/>
      <c r="D173" s="3"/>
      <c r="E173" s="3">
        <v>21</v>
      </c>
      <c r="F173" s="36" t="s">
        <v>553</v>
      </c>
      <c r="G173" s="37">
        <v>9999</v>
      </c>
      <c r="H173" s="37">
        <v>0</v>
      </c>
      <c r="I173" s="37">
        <v>0</v>
      </c>
      <c r="J173" s="37">
        <f t="shared" si="5"/>
        <v>9999</v>
      </c>
      <c r="K173" s="37"/>
      <c r="L173" s="33"/>
    </row>
    <row r="174" spans="1:12" x14ac:dyDescent="0.25">
      <c r="A174" s="33"/>
      <c r="B174" s="33"/>
      <c r="C174" s="3"/>
      <c r="D174" s="3"/>
      <c r="E174" s="3">
        <v>22</v>
      </c>
      <c r="F174" s="36" t="s">
        <v>554</v>
      </c>
      <c r="G174" s="37">
        <v>9980.64</v>
      </c>
      <c r="H174" s="37">
        <v>0</v>
      </c>
      <c r="I174" s="37">
        <v>0</v>
      </c>
      <c r="J174" s="37">
        <f t="shared" si="5"/>
        <v>9980.64</v>
      </c>
      <c r="K174" s="37"/>
      <c r="L174" s="33"/>
    </row>
    <row r="175" spans="1:12" x14ac:dyDescent="0.25">
      <c r="A175" s="33"/>
      <c r="B175" s="33"/>
      <c r="C175" s="3"/>
      <c r="D175" s="3"/>
      <c r="E175" s="3">
        <v>23</v>
      </c>
      <c r="F175" s="36" t="s">
        <v>555</v>
      </c>
      <c r="G175" s="37">
        <v>10500</v>
      </c>
      <c r="H175" s="37">
        <v>0</v>
      </c>
      <c r="I175" s="37">
        <v>0</v>
      </c>
      <c r="J175" s="37">
        <f t="shared" si="5"/>
        <v>10500</v>
      </c>
      <c r="K175" s="37"/>
      <c r="L175" s="33"/>
    </row>
    <row r="176" spans="1:12" x14ac:dyDescent="0.25">
      <c r="A176" s="33"/>
      <c r="B176" s="33"/>
      <c r="C176" s="3"/>
      <c r="D176" s="3"/>
      <c r="E176" s="3">
        <v>1</v>
      </c>
      <c r="F176" s="36" t="s">
        <v>513</v>
      </c>
      <c r="G176" s="37">
        <v>6920</v>
      </c>
      <c r="H176" s="37">
        <v>0</v>
      </c>
      <c r="I176" s="37">
        <v>0</v>
      </c>
      <c r="J176" s="37">
        <f t="shared" si="5"/>
        <v>6920</v>
      </c>
      <c r="K176" s="37"/>
      <c r="L176" s="33"/>
    </row>
    <row r="177" spans="1:12" x14ac:dyDescent="0.25">
      <c r="A177" s="33"/>
      <c r="B177" s="33"/>
      <c r="C177" s="3"/>
      <c r="D177" s="3"/>
      <c r="E177" s="3">
        <v>2</v>
      </c>
      <c r="F177" s="36" t="s">
        <v>514</v>
      </c>
      <c r="G177" s="37">
        <v>4111.25</v>
      </c>
      <c r="H177" s="37">
        <v>0</v>
      </c>
      <c r="I177" s="37">
        <v>0</v>
      </c>
      <c r="J177" s="37">
        <f t="shared" si="5"/>
        <v>4111.25</v>
      </c>
      <c r="K177" s="37"/>
      <c r="L177" s="33"/>
    </row>
    <row r="178" spans="1:12" x14ac:dyDescent="0.25">
      <c r="A178" s="33"/>
      <c r="B178" s="33"/>
      <c r="C178" s="3"/>
      <c r="D178" s="3"/>
      <c r="E178" s="3">
        <v>3</v>
      </c>
      <c r="F178" s="36" t="s">
        <v>515</v>
      </c>
      <c r="G178" s="37">
        <v>795</v>
      </c>
      <c r="H178" s="37">
        <v>0</v>
      </c>
      <c r="I178" s="37">
        <v>795</v>
      </c>
      <c r="J178" s="37">
        <f t="shared" si="5"/>
        <v>0</v>
      </c>
      <c r="K178" s="37"/>
      <c r="L178" s="33"/>
    </row>
    <row r="179" spans="1:12" x14ac:dyDescent="0.25">
      <c r="A179" s="33"/>
      <c r="B179" s="33"/>
      <c r="C179" s="3"/>
      <c r="D179" s="3"/>
      <c r="E179" s="3">
        <v>4</v>
      </c>
      <c r="F179" s="36" t="s">
        <v>516</v>
      </c>
      <c r="G179" s="37">
        <v>73560.63</v>
      </c>
      <c r="H179" s="37">
        <v>0</v>
      </c>
      <c r="I179" s="37">
        <v>38119</v>
      </c>
      <c r="J179" s="37">
        <f t="shared" si="5"/>
        <v>35441.630000000005</v>
      </c>
      <c r="K179" s="37"/>
      <c r="L179" s="33"/>
    </row>
    <row r="180" spans="1:12" x14ac:dyDescent="0.25">
      <c r="A180" s="33"/>
      <c r="B180" s="33"/>
      <c r="C180" s="3"/>
      <c r="D180" s="3"/>
      <c r="E180" s="3">
        <v>5</v>
      </c>
      <c r="F180" s="36" t="s">
        <v>517</v>
      </c>
      <c r="G180" s="37">
        <v>14998.99</v>
      </c>
      <c r="H180" s="37">
        <v>0</v>
      </c>
      <c r="I180" s="37">
        <v>0</v>
      </c>
      <c r="J180" s="37">
        <f t="shared" si="5"/>
        <v>14998.99</v>
      </c>
      <c r="K180" s="37"/>
      <c r="L180" s="33"/>
    </row>
    <row r="181" spans="1:12" x14ac:dyDescent="0.25">
      <c r="A181" s="33"/>
      <c r="B181" s="33"/>
      <c r="C181" s="3"/>
      <c r="D181" s="3"/>
      <c r="E181" s="3">
        <v>6</v>
      </c>
      <c r="F181" s="36" t="s">
        <v>518</v>
      </c>
      <c r="G181" s="37">
        <v>4610</v>
      </c>
      <c r="H181" s="37">
        <v>0</v>
      </c>
      <c r="I181" s="37">
        <v>0</v>
      </c>
      <c r="J181" s="37">
        <f t="shared" si="5"/>
        <v>4610</v>
      </c>
      <c r="K181" s="37"/>
      <c r="L181" s="33"/>
    </row>
    <row r="182" spans="1:12" x14ac:dyDescent="0.25">
      <c r="A182" s="33"/>
      <c r="B182" s="33"/>
      <c r="C182" s="3"/>
      <c r="D182" s="3"/>
      <c r="E182" s="3">
        <v>7</v>
      </c>
      <c r="F182" s="36" t="s">
        <v>519</v>
      </c>
      <c r="G182" s="37">
        <v>13500</v>
      </c>
      <c r="H182" s="37">
        <v>0</v>
      </c>
      <c r="I182" s="37">
        <v>0</v>
      </c>
      <c r="J182" s="37">
        <f t="shared" si="5"/>
        <v>13500</v>
      </c>
      <c r="K182" s="37"/>
      <c r="L182" s="33"/>
    </row>
    <row r="183" spans="1:12" x14ac:dyDescent="0.25">
      <c r="A183" s="33"/>
      <c r="B183" s="33"/>
      <c r="C183" s="3"/>
      <c r="D183" s="3"/>
      <c r="E183" s="3">
        <v>8</v>
      </c>
      <c r="F183" s="36" t="s">
        <v>556</v>
      </c>
      <c r="G183" s="37">
        <v>27880.6</v>
      </c>
      <c r="H183" s="37">
        <v>0</v>
      </c>
      <c r="I183" s="37">
        <v>0</v>
      </c>
      <c r="J183" s="37">
        <f t="shared" si="5"/>
        <v>27880.6</v>
      </c>
      <c r="K183" s="37"/>
      <c r="L183" s="33"/>
    </row>
    <row r="184" spans="1:12" x14ac:dyDescent="0.25">
      <c r="A184" s="33"/>
      <c r="B184" s="33"/>
      <c r="C184" s="3"/>
      <c r="D184" s="3"/>
      <c r="E184" s="3">
        <v>9</v>
      </c>
      <c r="F184" s="36" t="s">
        <v>557</v>
      </c>
      <c r="G184" s="37">
        <v>29550</v>
      </c>
      <c r="H184" s="37">
        <v>0</v>
      </c>
      <c r="I184" s="37">
        <v>0</v>
      </c>
      <c r="J184" s="37">
        <f t="shared" si="5"/>
        <v>29550</v>
      </c>
      <c r="K184" s="37"/>
      <c r="L184" s="33"/>
    </row>
    <row r="185" spans="1:12" x14ac:dyDescent="0.25">
      <c r="A185" s="33"/>
      <c r="B185" s="33"/>
      <c r="C185" s="3"/>
      <c r="D185" s="3"/>
      <c r="E185" s="3">
        <v>10</v>
      </c>
      <c r="F185" s="36" t="s">
        <v>558</v>
      </c>
      <c r="G185" s="37">
        <v>4950</v>
      </c>
      <c r="H185" s="37">
        <v>0</v>
      </c>
      <c r="I185" s="37">
        <v>4950</v>
      </c>
      <c r="J185" s="37">
        <f t="shared" si="5"/>
        <v>0</v>
      </c>
      <c r="K185" s="37">
        <f>SUM(J176:J185)</f>
        <v>137012.47</v>
      </c>
      <c r="L185" s="33"/>
    </row>
    <row r="186" spans="1:12" x14ac:dyDescent="0.25">
      <c r="A186" s="33"/>
      <c r="B186" s="33"/>
      <c r="C186" s="3"/>
      <c r="D186" s="3"/>
      <c r="E186" s="3">
        <v>1</v>
      </c>
      <c r="F186" s="36" t="s">
        <v>520</v>
      </c>
      <c r="G186" s="37">
        <v>17049.39</v>
      </c>
      <c r="H186" s="37">
        <v>0</v>
      </c>
      <c r="I186" s="37">
        <v>4435.5</v>
      </c>
      <c r="J186" s="37">
        <f t="shared" si="5"/>
        <v>12613.89</v>
      </c>
      <c r="K186" s="37"/>
      <c r="L186" s="33"/>
    </row>
    <row r="187" spans="1:12" x14ac:dyDescent="0.25">
      <c r="A187" s="33"/>
      <c r="B187" s="33"/>
      <c r="C187" s="3"/>
      <c r="D187" s="3"/>
      <c r="E187" s="3">
        <v>2</v>
      </c>
      <c r="F187" s="36" t="s">
        <v>521</v>
      </c>
      <c r="G187" s="37">
        <v>37049.9</v>
      </c>
      <c r="H187" s="37">
        <v>0</v>
      </c>
      <c r="I187" s="37">
        <v>1859</v>
      </c>
      <c r="J187" s="37">
        <f t="shared" si="5"/>
        <v>35190.9</v>
      </c>
      <c r="K187" s="37"/>
      <c r="L187" s="33"/>
    </row>
    <row r="188" spans="1:12" x14ac:dyDescent="0.25">
      <c r="A188" s="33"/>
      <c r="B188" s="33"/>
      <c r="C188" s="3"/>
      <c r="D188" s="3"/>
      <c r="E188" s="3">
        <v>3</v>
      </c>
      <c r="F188" s="36" t="s">
        <v>522</v>
      </c>
      <c r="G188" s="37">
        <v>24137</v>
      </c>
      <c r="H188" s="37">
        <v>0</v>
      </c>
      <c r="I188" s="37">
        <v>24137</v>
      </c>
      <c r="J188" s="37">
        <f t="shared" si="5"/>
        <v>0</v>
      </c>
      <c r="K188" s="37"/>
      <c r="L188" s="33"/>
    </row>
    <row r="189" spans="1:12" x14ac:dyDescent="0.25">
      <c r="A189" s="33"/>
      <c r="B189" s="33"/>
      <c r="C189" s="3"/>
      <c r="D189" s="3"/>
      <c r="E189" s="3">
        <v>4</v>
      </c>
      <c r="F189" s="36" t="s">
        <v>523</v>
      </c>
      <c r="G189" s="37">
        <v>12548</v>
      </c>
      <c r="H189" s="37">
        <v>0</v>
      </c>
      <c r="I189" s="37">
        <v>0</v>
      </c>
      <c r="J189" s="37">
        <f t="shared" si="5"/>
        <v>12548</v>
      </c>
      <c r="K189" s="37"/>
      <c r="L189" s="33"/>
    </row>
    <row r="190" spans="1:12" x14ac:dyDescent="0.25">
      <c r="A190" s="33"/>
      <c r="B190" s="33"/>
      <c r="C190" s="3"/>
      <c r="D190" s="3"/>
      <c r="E190" s="3">
        <v>5</v>
      </c>
      <c r="F190" s="36" t="s">
        <v>524</v>
      </c>
      <c r="G190" s="37">
        <v>4400</v>
      </c>
      <c r="H190" s="37">
        <v>0</v>
      </c>
      <c r="I190" s="37">
        <v>0</v>
      </c>
      <c r="J190" s="37">
        <f t="shared" si="5"/>
        <v>4400</v>
      </c>
      <c r="K190" s="37"/>
      <c r="L190" s="33"/>
    </row>
    <row r="191" spans="1:12" x14ac:dyDescent="0.25">
      <c r="A191" s="33"/>
      <c r="B191" s="33"/>
      <c r="C191" s="3"/>
      <c r="D191" s="3"/>
      <c r="E191" s="3">
        <v>6</v>
      </c>
      <c r="F191" s="36" t="s">
        <v>525</v>
      </c>
      <c r="G191" s="37">
        <v>1836</v>
      </c>
      <c r="H191" s="37">
        <v>0</v>
      </c>
      <c r="I191" s="37">
        <v>0</v>
      </c>
      <c r="J191" s="37">
        <f t="shared" si="5"/>
        <v>1836</v>
      </c>
      <c r="K191" s="37"/>
      <c r="L191" s="33"/>
    </row>
    <row r="192" spans="1:12" x14ac:dyDescent="0.25">
      <c r="A192" s="33"/>
      <c r="B192" s="33"/>
      <c r="C192" s="3"/>
      <c r="D192" s="3"/>
      <c r="E192" s="3">
        <v>7</v>
      </c>
      <c r="F192" s="36" t="s">
        <v>526</v>
      </c>
      <c r="G192" s="37">
        <v>435</v>
      </c>
      <c r="H192" s="37">
        <v>0</v>
      </c>
      <c r="I192" s="37">
        <v>0</v>
      </c>
      <c r="J192" s="37">
        <f t="shared" si="5"/>
        <v>435</v>
      </c>
      <c r="K192" s="37"/>
      <c r="L192" s="33"/>
    </row>
    <row r="193" spans="1:12" x14ac:dyDescent="0.25">
      <c r="A193" s="33"/>
      <c r="B193" s="33"/>
      <c r="C193" s="3"/>
      <c r="D193" s="3"/>
      <c r="E193" s="3">
        <v>8</v>
      </c>
      <c r="F193" s="36" t="s">
        <v>527</v>
      </c>
      <c r="G193" s="37">
        <v>300</v>
      </c>
      <c r="H193" s="37">
        <v>0</v>
      </c>
      <c r="I193" s="37">
        <v>0</v>
      </c>
      <c r="J193" s="37">
        <f t="shared" si="5"/>
        <v>300</v>
      </c>
      <c r="K193" s="37"/>
      <c r="L193" s="33"/>
    </row>
    <row r="194" spans="1:12" x14ac:dyDescent="0.25">
      <c r="A194" s="33"/>
      <c r="B194" s="33"/>
      <c r="C194" s="3"/>
      <c r="D194" s="3"/>
      <c r="E194" s="3">
        <v>9</v>
      </c>
      <c r="F194" s="36" t="s">
        <v>528</v>
      </c>
      <c r="G194" s="37">
        <v>8625</v>
      </c>
      <c r="H194" s="37">
        <v>0</v>
      </c>
      <c r="I194" s="37">
        <v>0</v>
      </c>
      <c r="J194" s="37">
        <f t="shared" si="5"/>
        <v>8625</v>
      </c>
      <c r="K194" s="37"/>
      <c r="L194" s="33"/>
    </row>
    <row r="195" spans="1:12" x14ac:dyDescent="0.25">
      <c r="A195" s="33"/>
      <c r="B195" s="33"/>
      <c r="C195" s="3"/>
      <c r="D195" s="3"/>
      <c r="E195" s="3">
        <v>10</v>
      </c>
      <c r="F195" s="36" t="s">
        <v>529</v>
      </c>
      <c r="G195" s="37">
        <v>1198</v>
      </c>
      <c r="H195" s="37">
        <v>0</v>
      </c>
      <c r="I195" s="37">
        <v>0</v>
      </c>
      <c r="J195" s="37">
        <f t="shared" si="5"/>
        <v>1198</v>
      </c>
      <c r="K195" s="37"/>
      <c r="L195" s="33"/>
    </row>
    <row r="196" spans="1:12" x14ac:dyDescent="0.25">
      <c r="A196" s="33"/>
      <c r="B196" s="33"/>
      <c r="C196" s="3"/>
      <c r="D196" s="3"/>
      <c r="E196" s="3">
        <v>11</v>
      </c>
      <c r="F196" s="36" t="s">
        <v>530</v>
      </c>
      <c r="G196" s="37">
        <v>189</v>
      </c>
      <c r="H196" s="37">
        <v>0</v>
      </c>
      <c r="I196" s="37">
        <v>0</v>
      </c>
      <c r="J196" s="37">
        <f t="shared" si="5"/>
        <v>189</v>
      </c>
      <c r="K196" s="37"/>
      <c r="L196" s="33"/>
    </row>
    <row r="197" spans="1:12" x14ac:dyDescent="0.25">
      <c r="A197" s="33"/>
      <c r="B197" s="33"/>
      <c r="C197" s="3"/>
      <c r="D197" s="3"/>
      <c r="E197" s="3">
        <v>12</v>
      </c>
      <c r="F197" s="36" t="s">
        <v>531</v>
      </c>
      <c r="G197" s="37">
        <v>315</v>
      </c>
      <c r="H197" s="37">
        <v>0</v>
      </c>
      <c r="I197" s="37">
        <v>0</v>
      </c>
      <c r="J197" s="37">
        <f t="shared" si="5"/>
        <v>315</v>
      </c>
      <c r="K197" s="37"/>
      <c r="L197" s="33"/>
    </row>
    <row r="198" spans="1:12" x14ac:dyDescent="0.25">
      <c r="A198" s="33"/>
      <c r="B198" s="33"/>
      <c r="C198" s="3"/>
      <c r="D198" s="3"/>
      <c r="E198" s="3">
        <v>13</v>
      </c>
      <c r="F198" s="36" t="s">
        <v>532</v>
      </c>
      <c r="G198" s="37">
        <v>2304.06</v>
      </c>
      <c r="H198" s="37">
        <v>0</v>
      </c>
      <c r="I198" s="37">
        <v>699</v>
      </c>
      <c r="J198" s="37">
        <f t="shared" si="5"/>
        <v>1605.06</v>
      </c>
      <c r="K198" s="37"/>
      <c r="L198" s="33"/>
    </row>
    <row r="199" spans="1:12" x14ac:dyDescent="0.25">
      <c r="A199" s="33"/>
      <c r="B199" s="33"/>
      <c r="C199" s="3"/>
      <c r="D199" s="3"/>
      <c r="E199" s="3">
        <v>14</v>
      </c>
      <c r="F199" s="36" t="s">
        <v>533</v>
      </c>
      <c r="G199" s="37">
        <v>12382</v>
      </c>
      <c r="H199" s="37">
        <v>0</v>
      </c>
      <c r="I199" s="37">
        <v>0</v>
      </c>
      <c r="J199" s="37">
        <f t="shared" si="5"/>
        <v>12382</v>
      </c>
      <c r="K199" s="37"/>
      <c r="L199" s="33"/>
    </row>
    <row r="200" spans="1:12" x14ac:dyDescent="0.25">
      <c r="A200" s="33"/>
      <c r="B200" s="33"/>
      <c r="C200" s="3"/>
      <c r="D200" s="3"/>
      <c r="E200" s="3">
        <v>15</v>
      </c>
      <c r="F200" s="36" t="s">
        <v>534</v>
      </c>
      <c r="G200" s="37">
        <v>4680.01</v>
      </c>
      <c r="H200" s="37">
        <v>0</v>
      </c>
      <c r="I200" s="37">
        <v>0</v>
      </c>
      <c r="J200" s="37">
        <f t="shared" si="5"/>
        <v>4680.01</v>
      </c>
      <c r="K200" s="37"/>
      <c r="L200" s="33"/>
    </row>
    <row r="201" spans="1:12" x14ac:dyDescent="0.25">
      <c r="A201" s="33"/>
      <c r="B201" s="33"/>
      <c r="C201" s="3"/>
      <c r="D201" s="3"/>
      <c r="E201" s="3">
        <v>16</v>
      </c>
      <c r="F201" s="36" t="s">
        <v>535</v>
      </c>
      <c r="G201" s="37">
        <v>629</v>
      </c>
      <c r="H201" s="37">
        <v>0</v>
      </c>
      <c r="I201" s="37">
        <v>0</v>
      </c>
      <c r="J201" s="37">
        <f t="shared" si="5"/>
        <v>629</v>
      </c>
      <c r="K201" s="37"/>
      <c r="L201" s="33"/>
    </row>
    <row r="202" spans="1:12" x14ac:dyDescent="0.25">
      <c r="A202" s="33"/>
      <c r="B202" s="33"/>
      <c r="C202" s="3"/>
      <c r="D202" s="3"/>
      <c r="E202" s="3">
        <v>17</v>
      </c>
      <c r="F202" s="36" t="s">
        <v>536</v>
      </c>
      <c r="G202" s="37">
        <v>2334.4</v>
      </c>
      <c r="H202" s="37">
        <v>0</v>
      </c>
      <c r="I202" s="37">
        <v>0</v>
      </c>
      <c r="J202" s="37">
        <f t="shared" si="5"/>
        <v>2334.4</v>
      </c>
      <c r="K202" s="37"/>
      <c r="L202" s="33"/>
    </row>
    <row r="203" spans="1:12" x14ac:dyDescent="0.25">
      <c r="A203" s="33"/>
      <c r="B203" s="33"/>
      <c r="C203" s="3"/>
      <c r="D203" s="3"/>
      <c r="E203" s="3">
        <v>18</v>
      </c>
      <c r="F203" s="36" t="s">
        <v>537</v>
      </c>
      <c r="G203" s="37">
        <v>2900</v>
      </c>
      <c r="H203" s="37">
        <v>0</v>
      </c>
      <c r="I203" s="37">
        <v>0</v>
      </c>
      <c r="J203" s="37">
        <f t="shared" si="5"/>
        <v>2900</v>
      </c>
      <c r="K203" s="37"/>
      <c r="L203" s="33"/>
    </row>
    <row r="204" spans="1:12" x14ac:dyDescent="0.25">
      <c r="A204" s="33"/>
      <c r="B204" s="33"/>
      <c r="C204" s="3"/>
      <c r="D204" s="3"/>
      <c r="E204" s="3">
        <v>19</v>
      </c>
      <c r="F204" s="36" t="s">
        <v>546</v>
      </c>
      <c r="G204" s="37">
        <v>4640</v>
      </c>
      <c r="H204" s="37">
        <v>0</v>
      </c>
      <c r="I204" s="37">
        <v>0</v>
      </c>
      <c r="J204" s="37">
        <f t="shared" si="5"/>
        <v>4640</v>
      </c>
      <c r="K204" s="37"/>
      <c r="L204" s="33"/>
    </row>
    <row r="205" spans="1:12" x14ac:dyDescent="0.25">
      <c r="A205" s="33"/>
      <c r="B205" s="33"/>
      <c r="C205" s="3"/>
      <c r="D205" s="3"/>
      <c r="E205" s="3">
        <v>20</v>
      </c>
      <c r="F205" s="36" t="s">
        <v>547</v>
      </c>
      <c r="G205" s="37">
        <v>0</v>
      </c>
      <c r="H205" s="37">
        <v>0</v>
      </c>
      <c r="I205" s="37">
        <v>0</v>
      </c>
      <c r="J205" s="37">
        <f t="shared" si="5"/>
        <v>0</v>
      </c>
      <c r="K205" s="37"/>
      <c r="L205" s="33"/>
    </row>
    <row r="206" spans="1:12" x14ac:dyDescent="0.25">
      <c r="A206" s="33"/>
      <c r="B206" s="33"/>
      <c r="C206" s="3"/>
      <c r="D206" s="3"/>
      <c r="E206" s="3">
        <v>21</v>
      </c>
      <c r="F206" s="36" t="s">
        <v>548</v>
      </c>
      <c r="G206" s="37">
        <v>9499.99</v>
      </c>
      <c r="H206" s="37">
        <v>0</v>
      </c>
      <c r="I206" s="37">
        <v>0</v>
      </c>
      <c r="J206" s="37">
        <f t="shared" si="5"/>
        <v>9499.99</v>
      </c>
      <c r="K206" s="37"/>
      <c r="L206" s="33"/>
    </row>
    <row r="207" spans="1:12" x14ac:dyDescent="0.25">
      <c r="A207" s="33"/>
      <c r="B207" s="33"/>
      <c r="C207" s="3"/>
      <c r="D207" s="3"/>
      <c r="E207" s="3">
        <v>22</v>
      </c>
      <c r="F207" s="36" t="s">
        <v>549</v>
      </c>
      <c r="G207" s="37">
        <v>0</v>
      </c>
      <c r="H207" s="37">
        <v>0</v>
      </c>
      <c r="I207" s="37">
        <v>0</v>
      </c>
      <c r="J207" s="37">
        <f t="shared" si="5"/>
        <v>0</v>
      </c>
      <c r="K207" s="37"/>
      <c r="L207" s="33"/>
    </row>
    <row r="208" spans="1:12" x14ac:dyDescent="0.25">
      <c r="A208" s="33"/>
      <c r="B208" s="33"/>
      <c r="C208" s="3"/>
      <c r="D208" s="3"/>
      <c r="E208" s="3">
        <v>23</v>
      </c>
      <c r="F208" s="36" t="s">
        <v>550</v>
      </c>
      <c r="G208" s="37">
        <v>2900</v>
      </c>
      <c r="H208" s="37">
        <v>0</v>
      </c>
      <c r="I208" s="37">
        <v>0</v>
      </c>
      <c r="J208" s="37">
        <f t="shared" si="5"/>
        <v>2900</v>
      </c>
      <c r="K208" s="37"/>
      <c r="L208" s="33"/>
    </row>
    <row r="209" spans="1:12" x14ac:dyDescent="0.25">
      <c r="A209" s="35">
        <v>1</v>
      </c>
      <c r="B209" s="35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33"/>
    </row>
    <row r="210" spans="1:12" x14ac:dyDescent="0.25">
      <c r="A210" s="35">
        <v>1</v>
      </c>
      <c r="B210" s="35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33"/>
    </row>
    <row r="211" spans="1:12" x14ac:dyDescent="0.25">
      <c r="A211" s="35">
        <v>1</v>
      </c>
      <c r="B211" s="35">
        <v>2</v>
      </c>
      <c r="C211" s="3">
        <v>5</v>
      </c>
      <c r="D211" s="3"/>
      <c r="E211" s="3"/>
      <c r="F211" s="3" t="s">
        <v>65</v>
      </c>
      <c r="G211" s="16">
        <f>+G212+G218+G219+G220+G221</f>
        <v>30711.08</v>
      </c>
      <c r="H211" s="16">
        <f>+H212+H218+H219+H220+H221</f>
        <v>0</v>
      </c>
      <c r="I211" s="16">
        <f>+I212+I218+I219+I220+I221</f>
        <v>0</v>
      </c>
      <c r="J211" s="16">
        <f>+J212+J218+J219+J220+J221</f>
        <v>30711.08</v>
      </c>
      <c r="K211" s="16"/>
      <c r="L211" s="33"/>
    </row>
    <row r="212" spans="1:12" x14ac:dyDescent="0.25">
      <c r="A212" s="35">
        <v>1</v>
      </c>
      <c r="B212" s="35">
        <v>2</v>
      </c>
      <c r="C212" s="3">
        <v>5</v>
      </c>
      <c r="D212" s="3">
        <v>1</v>
      </c>
      <c r="E212" s="3"/>
      <c r="F212" s="3" t="s">
        <v>139</v>
      </c>
      <c r="G212" s="44">
        <f>SUM(G213:G217)</f>
        <v>30711.08</v>
      </c>
      <c r="H212" s="44">
        <f>SUM(H213:H217)</f>
        <v>0</v>
      </c>
      <c r="I212" s="44">
        <f>SUM(I213:I217)</f>
        <v>0</v>
      </c>
      <c r="J212" s="44">
        <f>SUM(J213:J217)</f>
        <v>30711.08</v>
      </c>
      <c r="K212" s="44"/>
      <c r="L212" s="33"/>
    </row>
    <row r="213" spans="1:12" x14ac:dyDescent="0.25">
      <c r="A213" s="35"/>
      <c r="B213" s="35"/>
      <c r="C213" s="3"/>
      <c r="D213" s="3"/>
      <c r="E213" s="3">
        <v>1</v>
      </c>
      <c r="F213" s="36" t="s">
        <v>538</v>
      </c>
      <c r="G213" s="37">
        <v>4988</v>
      </c>
      <c r="H213" s="37">
        <v>0</v>
      </c>
      <c r="I213" s="37">
        <v>0</v>
      </c>
      <c r="J213" s="37">
        <f>+G213+H213-I213</f>
        <v>4988</v>
      </c>
      <c r="K213" s="37"/>
      <c r="L213" s="33"/>
    </row>
    <row r="214" spans="1:12" x14ac:dyDescent="0.25">
      <c r="A214" s="35"/>
      <c r="B214" s="35"/>
      <c r="C214" s="3"/>
      <c r="D214" s="3"/>
      <c r="E214" s="3">
        <v>2</v>
      </c>
      <c r="F214" s="36" t="s">
        <v>539</v>
      </c>
      <c r="G214" s="37">
        <v>1199</v>
      </c>
      <c r="H214" s="37">
        <v>0</v>
      </c>
      <c r="I214" s="37">
        <v>0</v>
      </c>
      <c r="J214" s="37">
        <f>+G214+H214-I214</f>
        <v>1199</v>
      </c>
      <c r="K214" s="37"/>
      <c r="L214" s="33"/>
    </row>
    <row r="215" spans="1:12" x14ac:dyDescent="0.25">
      <c r="A215" s="35"/>
      <c r="B215" s="35"/>
      <c r="C215" s="3"/>
      <c r="D215" s="3"/>
      <c r="E215" s="3">
        <v>3</v>
      </c>
      <c r="F215" s="36" t="s">
        <v>540</v>
      </c>
      <c r="G215" s="37">
        <v>1500</v>
      </c>
      <c r="H215" s="37">
        <v>0</v>
      </c>
      <c r="I215" s="37">
        <v>0</v>
      </c>
      <c r="J215" s="37">
        <f>+G215+H215-I215</f>
        <v>1500</v>
      </c>
      <c r="K215" s="37"/>
      <c r="L215" s="33"/>
    </row>
    <row r="216" spans="1:12" x14ac:dyDescent="0.25">
      <c r="A216" s="35"/>
      <c r="B216" s="35"/>
      <c r="C216" s="3"/>
      <c r="D216" s="3"/>
      <c r="E216" s="3">
        <v>4</v>
      </c>
      <c r="F216" s="36" t="s">
        <v>541</v>
      </c>
      <c r="G216" s="37">
        <v>17963</v>
      </c>
      <c r="H216" s="37">
        <v>0</v>
      </c>
      <c r="I216" s="37">
        <v>0</v>
      </c>
      <c r="J216" s="37">
        <f>+G216+H216-I216</f>
        <v>17963</v>
      </c>
      <c r="K216" s="37"/>
      <c r="L216" s="33"/>
    </row>
    <row r="217" spans="1:12" x14ac:dyDescent="0.25">
      <c r="A217" s="35"/>
      <c r="B217" s="35"/>
      <c r="C217" s="3"/>
      <c r="D217" s="3"/>
      <c r="E217" s="3">
        <v>5</v>
      </c>
      <c r="F217" s="36" t="s">
        <v>559</v>
      </c>
      <c r="G217" s="37">
        <v>5061.08</v>
      </c>
      <c r="H217" s="37">
        <v>0</v>
      </c>
      <c r="I217" s="37">
        <v>0</v>
      </c>
      <c r="J217" s="37">
        <f>+G217+H217-I217</f>
        <v>5061.08</v>
      </c>
      <c r="K217" s="37"/>
      <c r="L217" s="33"/>
    </row>
    <row r="218" spans="1:12" hidden="1" x14ac:dyDescent="0.25">
      <c r="A218" s="35">
        <v>1</v>
      </c>
      <c r="B218" s="35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33"/>
    </row>
    <row r="219" spans="1:12" hidden="1" x14ac:dyDescent="0.25">
      <c r="A219" s="35">
        <v>1</v>
      </c>
      <c r="B219" s="35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33"/>
    </row>
    <row r="220" spans="1:12" hidden="1" x14ac:dyDescent="0.25">
      <c r="A220" s="35">
        <v>1</v>
      </c>
      <c r="B220" s="35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33"/>
    </row>
    <row r="221" spans="1:12" hidden="1" x14ac:dyDescent="0.25">
      <c r="A221" s="35">
        <v>1</v>
      </c>
      <c r="B221" s="35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33"/>
    </row>
    <row r="222" spans="1:12" ht="24" hidden="1" x14ac:dyDescent="0.25">
      <c r="A222" s="39">
        <v>1</v>
      </c>
      <c r="B222" s="39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33"/>
    </row>
    <row r="223" spans="1:12" hidden="1" x14ac:dyDescent="0.25">
      <c r="A223" s="35">
        <v>1</v>
      </c>
      <c r="B223" s="35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33"/>
    </row>
    <row r="224" spans="1:12" hidden="1" x14ac:dyDescent="0.25">
      <c r="A224" s="35">
        <v>1</v>
      </c>
      <c r="B224" s="35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33"/>
    </row>
    <row r="225" spans="1:12" hidden="1" x14ac:dyDescent="0.25">
      <c r="A225" s="35">
        <v>1</v>
      </c>
      <c r="B225" s="35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33"/>
    </row>
    <row r="226" spans="1:12" hidden="1" x14ac:dyDescent="0.25">
      <c r="A226" s="35">
        <v>1</v>
      </c>
      <c r="B226" s="35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33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33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7">
        <f>SUM(G229:G234)</f>
        <v>15000</v>
      </c>
      <c r="H228" s="17">
        <f>SUM(H229:H234)</f>
        <v>0</v>
      </c>
      <c r="I228" s="17">
        <f>SUM(I229:I234)</f>
        <v>0</v>
      </c>
      <c r="J228" s="17">
        <f>SUM(J229:J234)</f>
        <v>15000</v>
      </c>
      <c r="K228" s="17"/>
      <c r="L228" s="33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33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33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33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33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33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33"/>
    </row>
    <row r="235" spans="1:12" x14ac:dyDescent="0.25">
      <c r="A235" s="3"/>
      <c r="B235" s="3"/>
      <c r="C235" s="3"/>
      <c r="D235" s="3"/>
      <c r="E235" s="3"/>
      <c r="F235" s="36" t="s">
        <v>542</v>
      </c>
      <c r="G235" s="40">
        <v>15000</v>
      </c>
      <c r="H235" s="37">
        <v>0</v>
      </c>
      <c r="I235" s="37">
        <v>0</v>
      </c>
      <c r="J235" s="37">
        <f>+G235+H235-I235</f>
        <v>15000</v>
      </c>
      <c r="K235" s="37"/>
      <c r="L235" s="33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33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33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33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33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33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33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33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33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33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33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33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33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33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33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33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33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33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33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33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33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33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33"/>
    </row>
    <row r="258" spans="1:12" x14ac:dyDescent="0.25">
      <c r="A258" s="3"/>
      <c r="B258" s="3"/>
      <c r="C258" s="3"/>
      <c r="D258" s="3"/>
      <c r="E258" s="3">
        <v>1</v>
      </c>
      <c r="F258" s="3" t="s">
        <v>589</v>
      </c>
      <c r="G258" s="20">
        <v>19728</v>
      </c>
      <c r="H258" s="16">
        <f>5466+14262</f>
        <v>19728</v>
      </c>
      <c r="I258" s="16">
        <f>0+0+0</f>
        <v>0</v>
      </c>
      <c r="J258" s="5">
        <f>+G258+I258-H258</f>
        <v>0</v>
      </c>
      <c r="K258" s="5"/>
      <c r="L258" s="33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591</v>
      </c>
      <c r="G259" s="16">
        <v>0</v>
      </c>
      <c r="H259" s="16"/>
      <c r="I259" s="16"/>
      <c r="J259" s="5">
        <f t="shared" ref="J259:J289" si="6">+G259+I259-H259</f>
        <v>0</v>
      </c>
      <c r="K259" s="5"/>
      <c r="L259" s="33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560</v>
      </c>
      <c r="G260" s="16">
        <v>0</v>
      </c>
      <c r="H260" s="16"/>
      <c r="I260" s="16"/>
      <c r="J260" s="5">
        <f t="shared" si="6"/>
        <v>0</v>
      </c>
      <c r="K260" s="5"/>
      <c r="L260" s="33"/>
    </row>
    <row r="261" spans="1:12" x14ac:dyDescent="0.25">
      <c r="A261" s="3"/>
      <c r="B261" s="3"/>
      <c r="C261" s="3"/>
      <c r="D261" s="3"/>
      <c r="E261" s="3">
        <v>4</v>
      </c>
      <c r="F261" s="3" t="s">
        <v>561</v>
      </c>
      <c r="G261" s="16">
        <v>58787</v>
      </c>
      <c r="H261" s="16"/>
      <c r="I261" s="16"/>
      <c r="J261" s="5">
        <f t="shared" si="6"/>
        <v>58787</v>
      </c>
      <c r="K261" s="5"/>
      <c r="L261" s="33"/>
    </row>
    <row r="262" spans="1:12" hidden="1" x14ac:dyDescent="0.25">
      <c r="A262" s="3"/>
      <c r="B262" s="3"/>
      <c r="C262" s="3"/>
      <c r="D262" s="3"/>
      <c r="E262" s="3"/>
      <c r="F262" s="3" t="s">
        <v>454</v>
      </c>
      <c r="G262" s="16">
        <v>0</v>
      </c>
      <c r="H262" s="16"/>
      <c r="I262" s="16"/>
      <c r="J262" s="5">
        <f t="shared" si="6"/>
        <v>0</v>
      </c>
      <c r="K262" s="5"/>
      <c r="L262" s="33"/>
    </row>
    <row r="263" spans="1:12" hidden="1" x14ac:dyDescent="0.25">
      <c r="A263" s="3"/>
      <c r="B263" s="3"/>
      <c r="C263" s="3"/>
      <c r="D263" s="3"/>
      <c r="E263" s="3"/>
      <c r="F263" s="3" t="s">
        <v>712</v>
      </c>
      <c r="G263" s="16">
        <v>0</v>
      </c>
      <c r="H263" s="16"/>
      <c r="I263" s="16"/>
      <c r="J263" s="5">
        <f t="shared" si="6"/>
        <v>0</v>
      </c>
      <c r="K263" s="5"/>
      <c r="L263" s="33"/>
    </row>
    <row r="264" spans="1:12" hidden="1" x14ac:dyDescent="0.25">
      <c r="A264" s="3"/>
      <c r="B264" s="3"/>
      <c r="C264" s="3"/>
      <c r="D264" s="3"/>
      <c r="E264" s="3"/>
      <c r="F264" s="3" t="s">
        <v>708</v>
      </c>
      <c r="G264" s="16">
        <v>0</v>
      </c>
      <c r="H264" s="16"/>
      <c r="I264" s="16"/>
      <c r="J264" s="5">
        <f t="shared" si="6"/>
        <v>0</v>
      </c>
      <c r="K264" s="5"/>
      <c r="L264" s="33"/>
    </row>
    <row r="265" spans="1:12" hidden="1" x14ac:dyDescent="0.25">
      <c r="A265" s="3"/>
      <c r="B265" s="3"/>
      <c r="C265" s="3"/>
      <c r="D265" s="3"/>
      <c r="E265" s="3"/>
      <c r="F265" s="3" t="s">
        <v>710</v>
      </c>
      <c r="G265" s="16">
        <v>0</v>
      </c>
      <c r="H265" s="16"/>
      <c r="I265" s="16"/>
      <c r="J265" s="5">
        <f t="shared" si="6"/>
        <v>0</v>
      </c>
      <c r="K265" s="5"/>
      <c r="L265" s="33"/>
    </row>
    <row r="266" spans="1:12" hidden="1" x14ac:dyDescent="0.25">
      <c r="A266" s="3"/>
      <c r="B266" s="3"/>
      <c r="C266" s="3"/>
      <c r="D266" s="3"/>
      <c r="E266" s="3"/>
      <c r="F266" s="3" t="s">
        <v>709</v>
      </c>
      <c r="G266" s="16">
        <v>0</v>
      </c>
      <c r="H266" s="16"/>
      <c r="I266" s="16"/>
      <c r="J266" s="5">
        <f t="shared" si="6"/>
        <v>0</v>
      </c>
      <c r="K266" s="5"/>
      <c r="L266" s="33"/>
    </row>
    <row r="267" spans="1:12" hidden="1" x14ac:dyDescent="0.25">
      <c r="A267" s="3"/>
      <c r="B267" s="3"/>
      <c r="C267" s="3"/>
      <c r="D267" s="3"/>
      <c r="E267" s="3"/>
      <c r="F267" s="3" t="s">
        <v>705</v>
      </c>
      <c r="G267" s="16">
        <v>0</v>
      </c>
      <c r="H267" s="16"/>
      <c r="I267" s="16"/>
      <c r="J267" s="5">
        <f t="shared" si="6"/>
        <v>0</v>
      </c>
      <c r="K267" s="5"/>
      <c r="L267" s="33"/>
    </row>
    <row r="268" spans="1:12" x14ac:dyDescent="0.25">
      <c r="A268" s="3"/>
      <c r="B268" s="3"/>
      <c r="C268" s="3"/>
      <c r="D268" s="3"/>
      <c r="E268" s="3"/>
      <c r="F268" s="3" t="s">
        <v>814</v>
      </c>
      <c r="G268" s="16">
        <v>1271</v>
      </c>
      <c r="H268" s="16"/>
      <c r="I268" s="16"/>
      <c r="J268" s="5">
        <f t="shared" si="6"/>
        <v>1271</v>
      </c>
      <c r="K268" s="5"/>
      <c r="L268" s="33"/>
    </row>
    <row r="269" spans="1:12" x14ac:dyDescent="0.25">
      <c r="A269" s="3"/>
      <c r="B269" s="3"/>
      <c r="C269" s="3"/>
      <c r="D269" s="3"/>
      <c r="E269" s="3"/>
      <c r="F269" s="3" t="s">
        <v>711</v>
      </c>
      <c r="G269" s="16">
        <v>0</v>
      </c>
      <c r="H269" s="16"/>
      <c r="I269" s="16"/>
      <c r="J269" s="5">
        <f t="shared" si="6"/>
        <v>0</v>
      </c>
      <c r="K269" s="5"/>
      <c r="L269" s="33"/>
    </row>
    <row r="270" spans="1:12" x14ac:dyDescent="0.25">
      <c r="A270" s="3"/>
      <c r="B270" s="3"/>
      <c r="C270" s="3"/>
      <c r="D270" s="3"/>
      <c r="E270" s="3"/>
      <c r="F270" s="3" t="s">
        <v>824</v>
      </c>
      <c r="G270" s="16">
        <v>0</v>
      </c>
      <c r="H270" s="16">
        <v>2</v>
      </c>
      <c r="I270" s="16">
        <v>21</v>
      </c>
      <c r="J270" s="5">
        <f t="shared" si="6"/>
        <v>19</v>
      </c>
      <c r="K270" s="5"/>
      <c r="L270" s="33"/>
    </row>
    <row r="271" spans="1:12" hidden="1" x14ac:dyDescent="0.25">
      <c r="A271" s="3"/>
      <c r="B271" s="3"/>
      <c r="C271" s="3"/>
      <c r="D271" s="3"/>
      <c r="E271" s="3"/>
      <c r="F271" s="3" t="s">
        <v>445</v>
      </c>
      <c r="G271" s="16">
        <v>0</v>
      </c>
      <c r="H271" s="16"/>
      <c r="I271" s="16"/>
      <c r="J271" s="5">
        <f t="shared" si="6"/>
        <v>0</v>
      </c>
      <c r="K271" s="5"/>
      <c r="L271" s="33"/>
    </row>
    <row r="272" spans="1:12" hidden="1" x14ac:dyDescent="0.25">
      <c r="A272" s="3"/>
      <c r="B272" s="3"/>
      <c r="C272" s="3"/>
      <c r="D272" s="3"/>
      <c r="E272" s="3"/>
      <c r="F272" s="3" t="s">
        <v>590</v>
      </c>
      <c r="G272" s="16">
        <v>0</v>
      </c>
      <c r="H272" s="16"/>
      <c r="I272" s="16"/>
      <c r="J272" s="5">
        <f t="shared" si="6"/>
        <v>0</v>
      </c>
      <c r="K272" s="5"/>
      <c r="L272" s="33"/>
    </row>
    <row r="273" spans="1:12" hidden="1" x14ac:dyDescent="0.25">
      <c r="A273" s="3"/>
      <c r="B273" s="3"/>
      <c r="C273" s="3"/>
      <c r="D273" s="3"/>
      <c r="E273" s="3"/>
      <c r="F273" s="3" t="s">
        <v>446</v>
      </c>
      <c r="G273" s="16">
        <v>0</v>
      </c>
      <c r="H273" s="16"/>
      <c r="I273" s="16"/>
      <c r="J273" s="5">
        <f t="shared" si="6"/>
        <v>0</v>
      </c>
      <c r="K273" s="5"/>
      <c r="L273" s="33"/>
    </row>
    <row r="274" spans="1:12" x14ac:dyDescent="0.25">
      <c r="A274" s="3"/>
      <c r="B274" s="3"/>
      <c r="C274" s="3"/>
      <c r="D274" s="3"/>
      <c r="E274" s="3"/>
      <c r="F274" s="3" t="s">
        <v>813</v>
      </c>
      <c r="G274" s="16">
        <v>550193</v>
      </c>
      <c r="H274" s="16">
        <f>1100+1302+25236</f>
        <v>27638</v>
      </c>
      <c r="I274" s="16"/>
      <c r="J274" s="5">
        <f t="shared" si="6"/>
        <v>522555</v>
      </c>
      <c r="K274" s="5"/>
      <c r="L274" s="33"/>
    </row>
    <row r="275" spans="1:12" x14ac:dyDescent="0.25">
      <c r="A275" s="3"/>
      <c r="B275" s="3"/>
      <c r="C275" s="3"/>
      <c r="D275" s="3"/>
      <c r="E275" s="3"/>
      <c r="F275" s="3" t="s">
        <v>447</v>
      </c>
      <c r="G275" s="16">
        <v>1358007</v>
      </c>
      <c r="H275" s="16">
        <f>361868+95327+155463</f>
        <v>612658</v>
      </c>
      <c r="I275" s="16">
        <v>0</v>
      </c>
      <c r="J275" s="5">
        <f t="shared" si="6"/>
        <v>745349</v>
      </c>
      <c r="K275" s="5"/>
      <c r="L275" s="33"/>
    </row>
    <row r="276" spans="1:12" hidden="1" x14ac:dyDescent="0.25">
      <c r="A276" s="3"/>
      <c r="B276" s="3"/>
      <c r="C276" s="3"/>
      <c r="D276" s="3"/>
      <c r="E276" s="3"/>
      <c r="F276" s="3" t="s">
        <v>448</v>
      </c>
      <c r="G276" s="16">
        <v>0</v>
      </c>
      <c r="H276" s="16"/>
      <c r="I276" s="16"/>
      <c r="J276" s="5">
        <f t="shared" si="6"/>
        <v>0</v>
      </c>
      <c r="K276" s="5"/>
      <c r="L276" s="33"/>
    </row>
    <row r="277" spans="1:12" hidden="1" x14ac:dyDescent="0.25">
      <c r="A277" s="3"/>
      <c r="B277" s="3"/>
      <c r="C277" s="3"/>
      <c r="D277" s="3"/>
      <c r="E277" s="3"/>
      <c r="F277" s="3" t="s">
        <v>449</v>
      </c>
      <c r="G277" s="16">
        <v>0</v>
      </c>
      <c r="H277" s="16"/>
      <c r="I277" s="16"/>
      <c r="J277" s="5">
        <f t="shared" si="6"/>
        <v>0</v>
      </c>
      <c r="K277" s="5"/>
      <c r="L277" s="33"/>
    </row>
    <row r="278" spans="1:12" hidden="1" x14ac:dyDescent="0.25">
      <c r="A278" s="3"/>
      <c r="B278" s="3"/>
      <c r="C278" s="3"/>
      <c r="D278" s="3"/>
      <c r="E278" s="3"/>
      <c r="F278" s="3" t="s">
        <v>450</v>
      </c>
      <c r="G278" s="16">
        <v>0</v>
      </c>
      <c r="H278" s="16"/>
      <c r="I278" s="16"/>
      <c r="J278" s="5">
        <f t="shared" si="6"/>
        <v>0</v>
      </c>
      <c r="K278" s="5"/>
      <c r="L278" s="33"/>
    </row>
    <row r="279" spans="1:12" hidden="1" x14ac:dyDescent="0.25">
      <c r="A279" s="3"/>
      <c r="B279" s="3"/>
      <c r="C279" s="3"/>
      <c r="D279" s="3"/>
      <c r="E279" s="3"/>
      <c r="F279" s="3" t="s">
        <v>680</v>
      </c>
      <c r="G279" s="16">
        <v>0</v>
      </c>
      <c r="H279" s="16"/>
      <c r="I279" s="16"/>
      <c r="J279" s="5">
        <f t="shared" si="6"/>
        <v>0</v>
      </c>
      <c r="K279" s="5"/>
      <c r="L279" s="33"/>
    </row>
    <row r="280" spans="1:12" hidden="1" x14ac:dyDescent="0.25">
      <c r="A280" s="3"/>
      <c r="B280" s="3"/>
      <c r="C280" s="3"/>
      <c r="D280" s="3"/>
      <c r="E280" s="3"/>
      <c r="F280" s="3" t="s">
        <v>452</v>
      </c>
      <c r="G280" s="16">
        <v>0</v>
      </c>
      <c r="H280" s="16"/>
      <c r="I280" s="16"/>
      <c r="J280" s="5">
        <f t="shared" si="6"/>
        <v>0</v>
      </c>
      <c r="K280" s="5"/>
      <c r="L280" s="33"/>
    </row>
    <row r="281" spans="1:12" hidden="1" x14ac:dyDescent="0.25">
      <c r="A281" s="3"/>
      <c r="B281" s="3"/>
      <c r="C281" s="3"/>
      <c r="D281" s="3"/>
      <c r="E281" s="3"/>
      <c r="F281" s="3" t="s">
        <v>451</v>
      </c>
      <c r="G281" s="16">
        <v>0</v>
      </c>
      <c r="H281" s="16"/>
      <c r="I281" s="16"/>
      <c r="J281" s="5">
        <f t="shared" si="6"/>
        <v>0</v>
      </c>
      <c r="K281" s="5"/>
      <c r="L281" s="33"/>
    </row>
    <row r="282" spans="1:12" hidden="1" x14ac:dyDescent="0.25">
      <c r="A282" s="3"/>
      <c r="B282" s="3"/>
      <c r="C282" s="3"/>
      <c r="D282" s="3"/>
      <c r="E282" s="3"/>
      <c r="F282" s="3" t="s">
        <v>679</v>
      </c>
      <c r="G282" s="16">
        <v>0</v>
      </c>
      <c r="H282" s="16"/>
      <c r="I282" s="16"/>
      <c r="J282" s="5">
        <f t="shared" si="6"/>
        <v>0</v>
      </c>
      <c r="K282" s="5"/>
      <c r="L282" s="33"/>
    </row>
    <row r="283" spans="1:12" hidden="1" x14ac:dyDescent="0.25">
      <c r="A283" s="3"/>
      <c r="B283" s="3"/>
      <c r="C283" s="3"/>
      <c r="D283" s="3"/>
      <c r="E283" s="3"/>
      <c r="F283" s="3" t="s">
        <v>453</v>
      </c>
      <c r="G283" s="16">
        <v>0</v>
      </c>
      <c r="H283" s="16"/>
      <c r="I283" s="16"/>
      <c r="J283" s="5">
        <f t="shared" si="6"/>
        <v>0</v>
      </c>
      <c r="K283" s="5"/>
      <c r="L283" s="33"/>
    </row>
    <row r="284" spans="1:12" x14ac:dyDescent="0.25">
      <c r="A284" s="3"/>
      <c r="B284" s="3"/>
      <c r="C284" s="3"/>
      <c r="D284" s="3"/>
      <c r="E284" s="3"/>
      <c r="F284" s="3" t="s">
        <v>695</v>
      </c>
      <c r="G284" s="16">
        <v>23</v>
      </c>
      <c r="H284" s="16">
        <v>23</v>
      </c>
      <c r="I284" s="16"/>
      <c r="J284" s="5">
        <f t="shared" si="6"/>
        <v>0</v>
      </c>
      <c r="K284" s="5"/>
      <c r="L284" s="33"/>
    </row>
    <row r="285" spans="1:12" x14ac:dyDescent="0.25">
      <c r="A285" s="3"/>
      <c r="B285" s="3"/>
      <c r="C285" s="3"/>
      <c r="D285" s="3"/>
      <c r="E285" s="3"/>
      <c r="F285" s="3" t="s">
        <v>706</v>
      </c>
      <c r="G285" s="16">
        <v>6669007</v>
      </c>
      <c r="H285" s="16">
        <f>3890400+4126816</f>
        <v>8017216</v>
      </c>
      <c r="I285" s="16">
        <f>0+3654000+0</f>
        <v>3654000</v>
      </c>
      <c r="J285" s="5">
        <f t="shared" si="6"/>
        <v>2305791</v>
      </c>
      <c r="K285" s="5"/>
      <c r="L285" s="33"/>
    </row>
    <row r="286" spans="1:12" x14ac:dyDescent="0.25">
      <c r="A286" s="3"/>
      <c r="B286" s="3"/>
      <c r="C286" s="3"/>
      <c r="D286" s="3"/>
      <c r="E286" s="3"/>
      <c r="F286" s="3" t="s">
        <v>707</v>
      </c>
      <c r="G286" s="16">
        <v>-257</v>
      </c>
      <c r="H286" s="16"/>
      <c r="I286" s="16"/>
      <c r="J286" s="5">
        <f t="shared" si="6"/>
        <v>-257</v>
      </c>
      <c r="K286" s="5"/>
      <c r="L286" s="33"/>
    </row>
    <row r="287" spans="1:12" x14ac:dyDescent="0.25">
      <c r="A287" s="3"/>
      <c r="B287" s="3"/>
      <c r="C287" s="3"/>
      <c r="D287" s="3"/>
      <c r="E287" s="3"/>
      <c r="F287" s="3" t="s">
        <v>815</v>
      </c>
      <c r="G287" s="16">
        <v>99987</v>
      </c>
      <c r="H287" s="16"/>
      <c r="I287" s="16"/>
      <c r="J287" s="5">
        <f t="shared" si="6"/>
        <v>99987</v>
      </c>
      <c r="K287" s="5"/>
      <c r="L287" s="33"/>
    </row>
    <row r="288" spans="1:12" x14ac:dyDescent="0.25">
      <c r="A288" s="3"/>
      <c r="B288" s="3"/>
      <c r="C288" s="3"/>
      <c r="D288" s="3"/>
      <c r="E288" s="3"/>
      <c r="F288" s="3" t="s">
        <v>816</v>
      </c>
      <c r="G288" s="16">
        <v>993652</v>
      </c>
      <c r="H288" s="16">
        <f>465109+677762+342905</f>
        <v>1485776</v>
      </c>
      <c r="I288" s="16">
        <f>620000+180000+231000</f>
        <v>1031000</v>
      </c>
      <c r="J288" s="5">
        <f t="shared" si="6"/>
        <v>538876</v>
      </c>
      <c r="K288" s="5"/>
      <c r="L288" s="33"/>
    </row>
    <row r="289" spans="1:12" x14ac:dyDescent="0.25">
      <c r="A289" s="3"/>
      <c r="B289" s="3"/>
      <c r="C289" s="3"/>
      <c r="D289" s="3"/>
      <c r="E289" s="3"/>
      <c r="F289" s="3" t="s">
        <v>825</v>
      </c>
      <c r="G289" s="16"/>
      <c r="H289" s="16">
        <f>1097513+453883+389253</f>
        <v>1940649</v>
      </c>
      <c r="I289" s="16">
        <f>2985000</f>
        <v>2985000</v>
      </c>
      <c r="J289" s="5">
        <f t="shared" si="6"/>
        <v>1044351</v>
      </c>
      <c r="K289" s="5"/>
      <c r="L289" s="33"/>
    </row>
    <row r="290" spans="1:12" hidden="1" x14ac:dyDescent="0.25">
      <c r="A290" s="14">
        <v>2</v>
      </c>
      <c r="B290" s="14">
        <v>1</v>
      </c>
      <c r="C290" s="14">
        <v>2</v>
      </c>
      <c r="D290" s="14"/>
      <c r="E290" s="14"/>
      <c r="F290" s="19" t="s">
        <v>45</v>
      </c>
      <c r="G290" s="19"/>
      <c r="H290" s="19"/>
      <c r="I290" s="19"/>
      <c r="J290" s="15"/>
      <c r="K290" s="15"/>
      <c r="L290" s="33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33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33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33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33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33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33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33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33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33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33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33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33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33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33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33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33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33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33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33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33"/>
    </row>
    <row r="311" spans="1:12" x14ac:dyDescent="0.25">
      <c r="A311" s="3"/>
      <c r="B311" s="3"/>
      <c r="C311" s="3"/>
      <c r="D311" s="3"/>
      <c r="E311" s="3"/>
      <c r="F311" s="3" t="s">
        <v>562</v>
      </c>
      <c r="G311" s="16">
        <v>0</v>
      </c>
      <c r="H311" s="16"/>
      <c r="I311" s="16"/>
      <c r="J311" s="5">
        <f t="shared" ref="J311:J316" si="7">+G311+I311-H311</f>
        <v>0</v>
      </c>
      <c r="K311" s="5"/>
      <c r="L311" s="33"/>
    </row>
    <row r="312" spans="1:12" x14ac:dyDescent="0.25">
      <c r="A312" s="3"/>
      <c r="B312" s="3"/>
      <c r="C312" s="3"/>
      <c r="D312" s="3"/>
      <c r="E312" s="3"/>
      <c r="F312" s="3" t="s">
        <v>567</v>
      </c>
      <c r="G312" s="16">
        <v>0</v>
      </c>
      <c r="H312" s="16">
        <f>49156+124791</f>
        <v>173947</v>
      </c>
      <c r="I312" s="16">
        <f>49156+124792+121825</f>
        <v>295773</v>
      </c>
      <c r="J312" s="5">
        <f t="shared" si="7"/>
        <v>121826</v>
      </c>
      <c r="K312" s="5"/>
      <c r="L312" s="33"/>
    </row>
    <row r="313" spans="1:12" x14ac:dyDescent="0.25">
      <c r="A313" s="3"/>
      <c r="B313" s="3"/>
      <c r="C313" s="3"/>
      <c r="D313" s="3"/>
      <c r="E313" s="3"/>
      <c r="F313" s="3" t="s">
        <v>563</v>
      </c>
      <c r="G313" s="16">
        <v>0</v>
      </c>
      <c r="H313" s="16">
        <f>8970+19226</f>
        <v>28196</v>
      </c>
      <c r="I313" s="16">
        <f>11048+19227+0</f>
        <v>30275</v>
      </c>
      <c r="J313" s="5">
        <f t="shared" si="7"/>
        <v>2079</v>
      </c>
      <c r="K313" s="5"/>
      <c r="L313" s="33"/>
    </row>
    <row r="314" spans="1:12" x14ac:dyDescent="0.25">
      <c r="A314" s="3"/>
      <c r="B314" s="3"/>
      <c r="C314" s="3"/>
      <c r="D314" s="3"/>
      <c r="E314" s="3"/>
      <c r="F314" s="3" t="s">
        <v>564</v>
      </c>
      <c r="G314" s="16">
        <v>0</v>
      </c>
      <c r="H314" s="16"/>
      <c r="I314" s="16"/>
      <c r="J314" s="5">
        <f t="shared" si="7"/>
        <v>0</v>
      </c>
      <c r="K314" s="5"/>
      <c r="L314" s="33"/>
    </row>
    <row r="315" spans="1:12" x14ac:dyDescent="0.25">
      <c r="A315" s="3"/>
      <c r="B315" s="3"/>
      <c r="C315" s="3"/>
      <c r="D315" s="3"/>
      <c r="E315" s="3"/>
      <c r="F315" s="3" t="s">
        <v>565</v>
      </c>
      <c r="G315" s="16">
        <v>205499</v>
      </c>
      <c r="H315" s="16">
        <f>172258+76621+1089+2</f>
        <v>249970</v>
      </c>
      <c r="I315" s="16">
        <f>22060+22411+22078</f>
        <v>66549</v>
      </c>
      <c r="J315" s="5">
        <f t="shared" si="7"/>
        <v>22078</v>
      </c>
      <c r="K315" s="5"/>
      <c r="L315" s="33"/>
    </row>
    <row r="316" spans="1:12" x14ac:dyDescent="0.25">
      <c r="A316" s="3"/>
      <c r="B316" s="3"/>
      <c r="C316" s="3"/>
      <c r="D316" s="3"/>
      <c r="E316" s="3"/>
      <c r="F316" s="3" t="s">
        <v>566</v>
      </c>
      <c r="G316" s="16">
        <v>105363</v>
      </c>
      <c r="H316" s="16">
        <f>108338+0+32002</f>
        <v>140340</v>
      </c>
      <c r="I316" s="16">
        <f>16487+18489+18489+1</f>
        <v>53466</v>
      </c>
      <c r="J316" s="5">
        <f t="shared" si="7"/>
        <v>18489</v>
      </c>
      <c r="K316" s="5"/>
      <c r="L316" s="33"/>
    </row>
    <row r="317" spans="1:12" x14ac:dyDescent="0.25">
      <c r="A317" s="3"/>
      <c r="B317" s="3"/>
      <c r="C317" s="3"/>
      <c r="D317" s="3"/>
      <c r="E317" s="3"/>
      <c r="F317" s="3" t="s">
        <v>681</v>
      </c>
      <c r="G317" s="16"/>
      <c r="H317" s="16"/>
      <c r="I317" s="16"/>
      <c r="J317" s="5"/>
      <c r="K317" s="5"/>
      <c r="L317" s="33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33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33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33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33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33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33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33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33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33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33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33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33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33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33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33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33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33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33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33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33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33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33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33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33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33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33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33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33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33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33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33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33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33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33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33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33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33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33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33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5">
        <f>+G358+G362+G392</f>
        <v>3095633.82</v>
      </c>
      <c r="H357" s="25">
        <f>+H358+H362+H392</f>
        <v>0</v>
      </c>
      <c r="I357" s="25">
        <f>+I358+I362+I392</f>
        <v>0</v>
      </c>
      <c r="J357" s="25">
        <f>+J358+J362+J392</f>
        <v>3095633.82</v>
      </c>
      <c r="K357" s="25"/>
      <c r="L357" s="33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33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33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33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33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4">
        <f>+G363+G364</f>
        <v>-290674.18</v>
      </c>
      <c r="H362" s="24">
        <f>+H363+H364</f>
        <v>0</v>
      </c>
      <c r="I362" s="24">
        <f>+I363+I364</f>
        <v>0</v>
      </c>
      <c r="J362" s="24">
        <f>+J363+J364</f>
        <v>-290674.18</v>
      </c>
      <c r="K362" s="24"/>
      <c r="L362" s="33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33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33"/>
    </row>
    <row r="365" spans="1:12" x14ac:dyDescent="0.25">
      <c r="A365" s="3"/>
      <c r="B365" s="3"/>
      <c r="C365" s="3"/>
      <c r="D365" s="3"/>
      <c r="E365" s="3"/>
      <c r="F365" s="3" t="s">
        <v>568</v>
      </c>
      <c r="G365" s="5">
        <v>171921</v>
      </c>
      <c r="H365" s="16">
        <v>0</v>
      </c>
      <c r="I365" s="16">
        <v>0</v>
      </c>
      <c r="J365" s="5">
        <f>G365+I365-H365</f>
        <v>171921</v>
      </c>
      <c r="K365" s="5"/>
      <c r="L365" s="33"/>
    </row>
    <row r="366" spans="1:12" x14ac:dyDescent="0.25">
      <c r="A366" s="3"/>
      <c r="B366" s="3"/>
      <c r="C366" s="3"/>
      <c r="D366" s="3"/>
      <c r="E366" s="3"/>
      <c r="F366" s="3" t="s">
        <v>568</v>
      </c>
      <c r="G366" s="5">
        <v>-15244</v>
      </c>
      <c r="H366" s="16">
        <v>0</v>
      </c>
      <c r="I366" s="16">
        <v>0</v>
      </c>
      <c r="J366" s="5">
        <f t="shared" ref="J366:J379" si="8">G366+I366-H366</f>
        <v>-15244</v>
      </c>
      <c r="K366" s="5"/>
      <c r="L366" s="33"/>
    </row>
    <row r="367" spans="1:12" x14ac:dyDescent="0.25">
      <c r="A367" s="3"/>
      <c r="B367" s="3"/>
      <c r="C367" s="3"/>
      <c r="D367" s="3"/>
      <c r="E367" s="3"/>
      <c r="F367" s="3" t="s">
        <v>568</v>
      </c>
      <c r="G367" s="5">
        <v>167705</v>
      </c>
      <c r="H367" s="16">
        <v>0</v>
      </c>
      <c r="I367" s="16">
        <v>0</v>
      </c>
      <c r="J367" s="5">
        <f t="shared" si="8"/>
        <v>167705</v>
      </c>
      <c r="K367" s="5"/>
      <c r="L367" s="33"/>
    </row>
    <row r="368" spans="1:12" x14ac:dyDescent="0.25">
      <c r="A368" s="3"/>
      <c r="B368" s="3"/>
      <c r="C368" s="3"/>
      <c r="D368" s="3"/>
      <c r="E368" s="3"/>
      <c r="F368" s="3" t="s">
        <v>569</v>
      </c>
      <c r="G368" s="5">
        <v>1158011</v>
      </c>
      <c r="H368" s="16">
        <v>0</v>
      </c>
      <c r="I368" s="16">
        <v>0</v>
      </c>
      <c r="J368" s="5">
        <f t="shared" si="8"/>
        <v>1158011</v>
      </c>
      <c r="K368" s="5"/>
      <c r="L368" s="33"/>
    </row>
    <row r="369" spans="1:12" x14ac:dyDescent="0.25">
      <c r="A369" s="3"/>
      <c r="B369" s="3"/>
      <c r="C369" s="3"/>
      <c r="D369" s="3"/>
      <c r="E369" s="3"/>
      <c r="F369" s="3" t="s">
        <v>570</v>
      </c>
      <c r="G369" s="5">
        <v>51255</v>
      </c>
      <c r="H369" s="16">
        <v>0</v>
      </c>
      <c r="I369" s="16">
        <v>0</v>
      </c>
      <c r="J369" s="5">
        <f t="shared" si="8"/>
        <v>51255</v>
      </c>
      <c r="K369" s="5"/>
      <c r="L369" s="33"/>
    </row>
    <row r="370" spans="1:12" x14ac:dyDescent="0.25">
      <c r="A370" s="3"/>
      <c r="B370" s="3"/>
      <c r="C370" s="3"/>
      <c r="D370" s="3"/>
      <c r="E370" s="3"/>
      <c r="F370" s="3" t="s">
        <v>571</v>
      </c>
      <c r="G370" s="5">
        <v>133876</v>
      </c>
      <c r="H370" s="16">
        <v>0</v>
      </c>
      <c r="I370" s="16">
        <v>0</v>
      </c>
      <c r="J370" s="5">
        <f t="shared" si="8"/>
        <v>133876</v>
      </c>
      <c r="K370" s="5"/>
      <c r="L370" s="33"/>
    </row>
    <row r="371" spans="1:12" x14ac:dyDescent="0.25">
      <c r="A371" s="3"/>
      <c r="B371" s="3"/>
      <c r="C371" s="3"/>
      <c r="D371" s="3"/>
      <c r="E371" s="3"/>
      <c r="F371" s="3" t="s">
        <v>572</v>
      </c>
      <c r="G371" s="5">
        <v>242881</v>
      </c>
      <c r="H371" s="16">
        <v>0</v>
      </c>
      <c r="I371" s="16">
        <v>0</v>
      </c>
      <c r="J371" s="5">
        <f t="shared" si="8"/>
        <v>242881</v>
      </c>
      <c r="K371" s="5"/>
      <c r="L371" s="33"/>
    </row>
    <row r="372" spans="1:12" x14ac:dyDescent="0.25">
      <c r="A372" s="3"/>
      <c r="B372" s="3"/>
      <c r="C372" s="3"/>
      <c r="D372" s="3"/>
      <c r="E372" s="3"/>
      <c r="F372" s="3" t="s">
        <v>573</v>
      </c>
      <c r="G372" s="5">
        <v>-787864</v>
      </c>
      <c r="H372" s="16">
        <v>0</v>
      </c>
      <c r="I372" s="16">
        <v>0</v>
      </c>
      <c r="J372" s="5">
        <f t="shared" si="8"/>
        <v>-787864</v>
      </c>
      <c r="K372" s="5"/>
      <c r="L372" s="33"/>
    </row>
    <row r="373" spans="1:12" x14ac:dyDescent="0.25">
      <c r="A373" s="3"/>
      <c r="B373" s="3"/>
      <c r="C373" s="3"/>
      <c r="D373" s="3"/>
      <c r="E373" s="3"/>
      <c r="F373" s="3" t="s">
        <v>574</v>
      </c>
      <c r="G373" s="5">
        <v>-398698</v>
      </c>
      <c r="H373" s="16">
        <v>0</v>
      </c>
      <c r="I373" s="16">
        <v>0</v>
      </c>
      <c r="J373" s="5">
        <f t="shared" si="8"/>
        <v>-398698</v>
      </c>
      <c r="K373" s="5"/>
      <c r="L373" s="33"/>
    </row>
    <row r="374" spans="1:12" x14ac:dyDescent="0.25">
      <c r="A374" s="3"/>
      <c r="B374" s="3"/>
      <c r="C374" s="3"/>
      <c r="D374" s="3"/>
      <c r="E374" s="3"/>
      <c r="F374" s="3" t="s">
        <v>575</v>
      </c>
      <c r="G374" s="5">
        <v>-110260</v>
      </c>
      <c r="H374" s="16">
        <v>0</v>
      </c>
      <c r="I374" s="16">
        <v>0</v>
      </c>
      <c r="J374" s="5">
        <f t="shared" si="8"/>
        <v>-110260</v>
      </c>
      <c r="K374" s="5"/>
      <c r="L374" s="33"/>
    </row>
    <row r="375" spans="1:12" x14ac:dyDescent="0.25">
      <c r="A375" s="3"/>
      <c r="B375" s="3"/>
      <c r="C375" s="3"/>
      <c r="D375" s="3"/>
      <c r="E375" s="3"/>
      <c r="F375" s="3" t="s">
        <v>576</v>
      </c>
      <c r="G375" s="5">
        <v>-310978</v>
      </c>
      <c r="H375" s="16">
        <v>0</v>
      </c>
      <c r="I375" s="16">
        <v>0</v>
      </c>
      <c r="J375" s="5">
        <f t="shared" si="8"/>
        <v>-310978</v>
      </c>
      <c r="K375" s="5"/>
      <c r="L375" s="33"/>
    </row>
    <row r="376" spans="1:12" x14ac:dyDescent="0.25">
      <c r="A376" s="3"/>
      <c r="B376" s="3"/>
      <c r="C376" s="3"/>
      <c r="D376" s="3"/>
      <c r="E376" s="3"/>
      <c r="F376" s="3" t="s">
        <v>577</v>
      </c>
      <c r="G376" s="5">
        <v>-36870.18</v>
      </c>
      <c r="H376" s="16">
        <v>0</v>
      </c>
      <c r="I376" s="16">
        <v>0</v>
      </c>
      <c r="J376" s="5">
        <f t="shared" si="8"/>
        <v>-36870.18</v>
      </c>
      <c r="K376" s="5"/>
      <c r="L376" s="33"/>
    </row>
    <row r="377" spans="1:12" x14ac:dyDescent="0.25">
      <c r="A377" s="3"/>
      <c r="B377" s="3"/>
      <c r="C377" s="3"/>
      <c r="D377" s="3"/>
      <c r="E377" s="3"/>
      <c r="F377" s="3" t="s">
        <v>578</v>
      </c>
      <c r="G377" s="16">
        <v>0</v>
      </c>
      <c r="H377" s="16">
        <v>0</v>
      </c>
      <c r="I377" s="16">
        <v>0</v>
      </c>
      <c r="J377" s="5">
        <f t="shared" si="8"/>
        <v>0</v>
      </c>
      <c r="K377" s="5"/>
      <c r="L377" s="33"/>
    </row>
    <row r="378" spans="1:12" x14ac:dyDescent="0.25">
      <c r="A378" s="3"/>
      <c r="B378" s="3"/>
      <c r="C378" s="3"/>
      <c r="D378" s="3"/>
      <c r="E378" s="3"/>
      <c r="F378" s="3" t="s">
        <v>698</v>
      </c>
      <c r="G378" s="16">
        <v>-288967</v>
      </c>
      <c r="H378" s="16">
        <v>0</v>
      </c>
      <c r="I378" s="16">
        <v>0</v>
      </c>
      <c r="J378" s="5">
        <f t="shared" si="8"/>
        <v>-288967</v>
      </c>
      <c r="K378" s="5"/>
      <c r="L378" s="33"/>
    </row>
    <row r="379" spans="1:12" x14ac:dyDescent="0.25">
      <c r="A379" s="3"/>
      <c r="B379" s="3"/>
      <c r="C379" s="3"/>
      <c r="D379" s="3"/>
      <c r="E379" s="3"/>
      <c r="F379" s="3" t="s">
        <v>819</v>
      </c>
      <c r="G379" s="16">
        <v>-267442</v>
      </c>
      <c r="H379" s="16"/>
      <c r="I379" s="16"/>
      <c r="J379" s="5">
        <f t="shared" si="8"/>
        <v>-267442</v>
      </c>
      <c r="K379" s="5"/>
      <c r="L379" s="33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9"/>
      <c r="H380" s="4"/>
      <c r="I380" s="4"/>
      <c r="J380" s="5"/>
      <c r="K380" s="5"/>
      <c r="L380" s="33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33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33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33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33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33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33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33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33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33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33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33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21">
        <f>SUM(G393:G394)</f>
        <v>3386308</v>
      </c>
      <c r="H392" s="21">
        <f>SUM(H393:H394)</f>
        <v>0</v>
      </c>
      <c r="I392" s="21">
        <f>SUM(I393:I394)</f>
        <v>0</v>
      </c>
      <c r="J392" s="21">
        <f>SUM(J393:J394)</f>
        <v>3386308</v>
      </c>
      <c r="K392" s="6"/>
      <c r="L392" s="33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33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33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6">
        <v>2518887</v>
      </c>
      <c r="H395" s="16"/>
      <c r="I395" s="16">
        <v>0</v>
      </c>
      <c r="J395" s="5">
        <f>+G395+I395-H395</f>
        <v>2518887</v>
      </c>
      <c r="K395" s="5"/>
      <c r="L395" s="33"/>
    </row>
    <row r="396" spans="1:12" x14ac:dyDescent="0.25">
      <c r="A396" s="3"/>
      <c r="B396" s="3"/>
      <c r="C396" s="3"/>
      <c r="D396" s="3"/>
      <c r="E396" s="3"/>
      <c r="F396" s="3" t="s">
        <v>592</v>
      </c>
      <c r="G396" s="16">
        <v>867421</v>
      </c>
      <c r="H396" s="16"/>
      <c r="I396" s="16"/>
      <c r="J396" s="5">
        <f>G396-H396+I396</f>
        <v>867421</v>
      </c>
      <c r="K396" s="5"/>
      <c r="L396" s="33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22">
        <f>G398+G460</f>
        <v>15928878</v>
      </c>
      <c r="H397" s="22">
        <f>H398+H460</f>
        <v>0</v>
      </c>
      <c r="I397" s="22">
        <f>I398+I460</f>
        <v>5903496</v>
      </c>
      <c r="J397" s="22">
        <f>J398+J460</f>
        <v>5903496</v>
      </c>
      <c r="K397" s="22"/>
      <c r="L397" s="33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237</v>
      </c>
      <c r="G398" s="21">
        <f>+G416+G430+G439</f>
        <v>3927598</v>
      </c>
      <c r="H398" s="21">
        <f>+H416+H430+H439</f>
        <v>0</v>
      </c>
      <c r="I398" s="21">
        <f>+I416+I430+I439</f>
        <v>3350496</v>
      </c>
      <c r="J398" s="21">
        <f>+J416+J430+J439</f>
        <v>3350496</v>
      </c>
      <c r="K398" s="21"/>
      <c r="L398" s="33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3" t="s">
        <v>4</v>
      </c>
      <c r="G399" s="23"/>
      <c r="H399" s="23"/>
      <c r="I399" s="23"/>
      <c r="J399" s="21"/>
      <c r="K399" s="21"/>
      <c r="L399" s="33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238</v>
      </c>
      <c r="G400" s="3"/>
      <c r="H400" s="3"/>
      <c r="I400" s="3"/>
      <c r="J400" s="5"/>
      <c r="K400" s="5"/>
      <c r="L400" s="33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239</v>
      </c>
      <c r="G401" s="3"/>
      <c r="H401" s="3"/>
      <c r="I401" s="3"/>
      <c r="J401" s="5"/>
      <c r="K401" s="5"/>
      <c r="L401" s="33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240</v>
      </c>
      <c r="G402" s="3"/>
      <c r="H402" s="3"/>
      <c r="I402" s="3"/>
      <c r="J402" s="5"/>
      <c r="K402" s="5"/>
      <c r="L402" s="33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241</v>
      </c>
      <c r="G403" s="3"/>
      <c r="H403" s="3"/>
      <c r="I403" s="3"/>
      <c r="J403" s="5"/>
      <c r="K403" s="5"/>
      <c r="L403" s="33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242</v>
      </c>
      <c r="G404" s="3"/>
      <c r="H404" s="3"/>
      <c r="I404" s="3"/>
      <c r="J404" s="5"/>
      <c r="K404" s="5"/>
      <c r="L404" s="33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243</v>
      </c>
      <c r="G405" s="3"/>
      <c r="H405" s="3"/>
      <c r="I405" s="3"/>
      <c r="J405" s="5"/>
      <c r="K405" s="5"/>
      <c r="L405" s="33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244</v>
      </c>
      <c r="G406" s="3"/>
      <c r="H406" s="3"/>
      <c r="I406" s="3"/>
      <c r="J406" s="5"/>
      <c r="K406" s="5"/>
      <c r="L406" s="33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245</v>
      </c>
      <c r="G407" s="3"/>
      <c r="H407" s="3"/>
      <c r="I407" s="3"/>
      <c r="J407" s="5"/>
      <c r="K407" s="5"/>
      <c r="L407" s="33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33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246</v>
      </c>
      <c r="G409" s="3"/>
      <c r="H409" s="3"/>
      <c r="I409" s="3"/>
      <c r="J409" s="5"/>
      <c r="K409" s="5"/>
      <c r="L409" s="33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247</v>
      </c>
      <c r="G410" s="3"/>
      <c r="H410" s="3"/>
      <c r="I410" s="3"/>
      <c r="J410" s="5"/>
      <c r="K410" s="5"/>
      <c r="L410" s="33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248</v>
      </c>
      <c r="G411" s="3"/>
      <c r="H411" s="3"/>
      <c r="I411" s="3"/>
      <c r="J411" s="5"/>
      <c r="K411" s="5"/>
      <c r="L411" s="33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249</v>
      </c>
      <c r="G412" s="3"/>
      <c r="H412" s="3"/>
      <c r="I412" s="3"/>
      <c r="J412" s="5"/>
      <c r="K412" s="5"/>
      <c r="L412" s="33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250</v>
      </c>
      <c r="G413" s="3"/>
      <c r="H413" s="3"/>
      <c r="I413" s="3"/>
      <c r="J413" s="5"/>
      <c r="K413" s="5"/>
      <c r="L413" s="33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33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251</v>
      </c>
      <c r="G415" s="3"/>
      <c r="H415" s="3"/>
      <c r="I415" s="3"/>
      <c r="J415" s="5"/>
      <c r="K415" s="5"/>
      <c r="L415" s="33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3" t="s">
        <v>6</v>
      </c>
      <c r="G416" s="45">
        <f>SUM(G417:G421)</f>
        <v>3720212</v>
      </c>
      <c r="H416" s="45">
        <f>SUM(H417:H421)</f>
        <v>0</v>
      </c>
      <c r="I416" s="45">
        <f>SUM(I417:I421)</f>
        <v>3348711</v>
      </c>
      <c r="J416" s="45">
        <f>SUM(J417:J421)</f>
        <v>3348711</v>
      </c>
      <c r="K416" s="45"/>
      <c r="L416" s="33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252</v>
      </c>
      <c r="G417" s="5"/>
      <c r="H417" s="5"/>
      <c r="I417" s="5"/>
      <c r="J417" s="5"/>
      <c r="K417" s="5"/>
      <c r="L417" s="33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253</v>
      </c>
      <c r="G418" s="5"/>
      <c r="H418" s="5"/>
      <c r="I418" s="5"/>
      <c r="J418" s="5"/>
      <c r="K418" s="5"/>
      <c r="L418" s="33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254</v>
      </c>
      <c r="G419" s="5"/>
      <c r="H419" s="5"/>
      <c r="I419" s="5"/>
      <c r="J419" s="5"/>
      <c r="K419" s="5"/>
      <c r="L419" s="33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255</v>
      </c>
      <c r="G420" s="5"/>
      <c r="H420" s="5"/>
      <c r="I420" s="5"/>
      <c r="J420" s="5"/>
      <c r="K420" s="5"/>
      <c r="L420" s="33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256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33"/>
    </row>
    <row r="422" spans="1:12" x14ac:dyDescent="0.25">
      <c r="A422" s="3"/>
      <c r="B422" s="3"/>
      <c r="C422" s="3"/>
      <c r="D422" s="3"/>
      <c r="E422" s="3"/>
      <c r="F422" s="3" t="s">
        <v>659</v>
      </c>
      <c r="G422" s="16">
        <v>1354565</v>
      </c>
      <c r="H422" s="16">
        <v>0</v>
      </c>
      <c r="I422" s="16">
        <v>303768</v>
      </c>
      <c r="J422" s="5">
        <f t="shared" ref="J422:J429" si="9">I422</f>
        <v>303768</v>
      </c>
      <c r="K422" s="5"/>
      <c r="L422" s="33"/>
    </row>
    <row r="423" spans="1:12" x14ac:dyDescent="0.25">
      <c r="A423" s="3"/>
      <c r="B423" s="3"/>
      <c r="C423" s="3"/>
      <c r="D423" s="3"/>
      <c r="E423" s="3"/>
      <c r="F423" s="3" t="s">
        <v>669</v>
      </c>
      <c r="G423" s="16">
        <v>96000</v>
      </c>
      <c r="H423" s="16">
        <v>0</v>
      </c>
      <c r="I423" s="16">
        <v>0</v>
      </c>
      <c r="J423" s="5">
        <f t="shared" si="9"/>
        <v>0</v>
      </c>
      <c r="K423" s="5"/>
      <c r="L423" s="33"/>
    </row>
    <row r="424" spans="1:12" x14ac:dyDescent="0.25">
      <c r="A424" s="3"/>
      <c r="B424" s="3"/>
      <c r="C424" s="3"/>
      <c r="D424" s="3"/>
      <c r="E424" s="3"/>
      <c r="F424" s="3" t="s">
        <v>660</v>
      </c>
      <c r="G424" s="16">
        <v>265678</v>
      </c>
      <c r="H424" s="16">
        <v>0</v>
      </c>
      <c r="I424" s="16">
        <v>83000</v>
      </c>
      <c r="J424" s="5">
        <f t="shared" si="9"/>
        <v>83000</v>
      </c>
      <c r="K424" s="5"/>
      <c r="L424" s="33"/>
    </row>
    <row r="425" spans="1:12" x14ac:dyDescent="0.25">
      <c r="A425" s="3"/>
      <c r="B425" s="3"/>
      <c r="C425" s="3"/>
      <c r="D425" s="3"/>
      <c r="E425" s="3"/>
      <c r="F425" s="3" t="s">
        <v>670</v>
      </c>
      <c r="G425" s="16">
        <v>0</v>
      </c>
      <c r="H425" s="16">
        <v>0</v>
      </c>
      <c r="I425" s="16">
        <v>0</v>
      </c>
      <c r="J425" s="5">
        <f t="shared" si="9"/>
        <v>0</v>
      </c>
      <c r="K425" s="5"/>
      <c r="L425" s="33"/>
    </row>
    <row r="426" spans="1:12" x14ac:dyDescent="0.25">
      <c r="A426" s="3"/>
      <c r="B426" s="3"/>
      <c r="C426" s="3"/>
      <c r="D426" s="3"/>
      <c r="E426" s="3"/>
      <c r="F426" s="3" t="s">
        <v>661</v>
      </c>
      <c r="G426" s="16">
        <v>5534</v>
      </c>
      <c r="H426" s="16">
        <v>0</v>
      </c>
      <c r="I426" s="16">
        <v>1943</v>
      </c>
      <c r="J426" s="5">
        <f>I426</f>
        <v>1943</v>
      </c>
      <c r="K426" s="5"/>
      <c r="L426" s="33"/>
    </row>
    <row r="427" spans="1:12" x14ac:dyDescent="0.25">
      <c r="A427" s="3"/>
      <c r="B427" s="3"/>
      <c r="C427" s="3"/>
      <c r="D427" s="3"/>
      <c r="E427" s="3"/>
      <c r="F427" s="3" t="s">
        <v>662</v>
      </c>
      <c r="G427" s="16">
        <v>0</v>
      </c>
      <c r="H427" s="16">
        <v>0</v>
      </c>
      <c r="I427" s="16"/>
      <c r="J427" s="5">
        <f t="shared" si="9"/>
        <v>0</v>
      </c>
      <c r="K427" s="5"/>
      <c r="L427" s="33"/>
    </row>
    <row r="428" spans="1:12" x14ac:dyDescent="0.25">
      <c r="A428" s="3"/>
      <c r="B428" s="3"/>
      <c r="C428" s="3"/>
      <c r="D428" s="3"/>
      <c r="E428" s="3"/>
      <c r="F428" s="3" t="s">
        <v>663</v>
      </c>
      <c r="G428" s="16">
        <v>1251878</v>
      </c>
      <c r="H428" s="16">
        <v>0</v>
      </c>
      <c r="I428" s="16">
        <v>2820000</v>
      </c>
      <c r="J428" s="5">
        <f t="shared" si="9"/>
        <v>2820000</v>
      </c>
      <c r="K428" s="5"/>
      <c r="L428" s="33"/>
    </row>
    <row r="429" spans="1:12" x14ac:dyDescent="0.25">
      <c r="A429" s="3"/>
      <c r="B429" s="3"/>
      <c r="C429" s="3"/>
      <c r="D429" s="3"/>
      <c r="E429" s="3"/>
      <c r="F429" s="3" t="s">
        <v>664</v>
      </c>
      <c r="G429" s="16">
        <v>746557</v>
      </c>
      <c r="H429" s="16">
        <v>0</v>
      </c>
      <c r="I429" s="16">
        <v>140000</v>
      </c>
      <c r="J429" s="5">
        <f t="shared" si="9"/>
        <v>140000</v>
      </c>
      <c r="K429" s="5"/>
      <c r="L429" s="33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3" t="s">
        <v>7</v>
      </c>
      <c r="G430" s="45">
        <f>SUM(G431:G434)</f>
        <v>4841</v>
      </c>
      <c r="H430" s="45">
        <f>SUM(H431:H434)</f>
        <v>0</v>
      </c>
      <c r="I430" s="45">
        <f>SUM(I431:I434)</f>
        <v>1785</v>
      </c>
      <c r="J430" s="45">
        <f>SUM(J431:J434)</f>
        <v>1785</v>
      </c>
      <c r="K430" s="45"/>
      <c r="L430" s="33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257</v>
      </c>
      <c r="G431" s="3"/>
      <c r="H431" s="3"/>
      <c r="I431" s="3"/>
      <c r="J431" s="5"/>
      <c r="K431" s="5"/>
      <c r="L431" s="33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258</v>
      </c>
      <c r="G432" s="3"/>
      <c r="H432" s="3"/>
      <c r="I432" s="3"/>
      <c r="J432" s="5"/>
      <c r="K432" s="5"/>
      <c r="L432" s="33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259</v>
      </c>
      <c r="G433" s="3"/>
      <c r="H433" s="3"/>
      <c r="I433" s="3"/>
      <c r="J433" s="5"/>
      <c r="K433" s="5"/>
      <c r="L433" s="33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260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33"/>
    </row>
    <row r="435" spans="1:12" x14ac:dyDescent="0.25">
      <c r="A435" s="3"/>
      <c r="B435" s="3"/>
      <c r="C435" s="3"/>
      <c r="D435" s="3"/>
      <c r="E435" s="3"/>
      <c r="F435" s="3" t="s">
        <v>665</v>
      </c>
      <c r="G435" s="16">
        <v>371</v>
      </c>
      <c r="H435" s="16">
        <v>0</v>
      </c>
      <c r="I435" s="16">
        <v>264</v>
      </c>
      <c r="J435" s="5">
        <f>I435</f>
        <v>264</v>
      </c>
      <c r="K435" s="5"/>
      <c r="L435" s="33"/>
    </row>
    <row r="436" spans="1:12" x14ac:dyDescent="0.25">
      <c r="A436" s="3"/>
      <c r="B436" s="3"/>
      <c r="C436" s="3"/>
      <c r="D436" s="3"/>
      <c r="E436" s="3"/>
      <c r="F436" s="3" t="s">
        <v>666</v>
      </c>
      <c r="G436" s="16">
        <v>4470</v>
      </c>
      <c r="H436" s="16">
        <v>0</v>
      </c>
      <c r="I436" s="16">
        <v>1521</v>
      </c>
      <c r="J436" s="5">
        <f>I436</f>
        <v>1521</v>
      </c>
      <c r="K436" s="5"/>
      <c r="L436" s="33"/>
    </row>
    <row r="437" spans="1:12" x14ac:dyDescent="0.25">
      <c r="A437" s="3"/>
      <c r="B437" s="3"/>
      <c r="C437" s="3"/>
      <c r="D437" s="3"/>
      <c r="E437" s="3"/>
      <c r="F437" s="3" t="s">
        <v>667</v>
      </c>
      <c r="G437" s="16">
        <v>0</v>
      </c>
      <c r="H437" s="16">
        <v>0</v>
      </c>
      <c r="I437" s="16">
        <v>0</v>
      </c>
      <c r="J437" s="5">
        <f>I437</f>
        <v>0</v>
      </c>
      <c r="K437" s="5"/>
      <c r="L437" s="33"/>
    </row>
    <row r="438" spans="1:12" x14ac:dyDescent="0.25">
      <c r="A438" s="3"/>
      <c r="B438" s="3"/>
      <c r="C438" s="3"/>
      <c r="D438" s="3"/>
      <c r="E438" s="3"/>
      <c r="F438" s="3" t="s">
        <v>696</v>
      </c>
      <c r="G438" s="16">
        <v>0</v>
      </c>
      <c r="H438" s="16">
        <v>0</v>
      </c>
      <c r="I438" s="16">
        <v>0</v>
      </c>
      <c r="J438" s="5">
        <f>I438</f>
        <v>0</v>
      </c>
      <c r="K438" s="5"/>
      <c r="L438" s="33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3" t="s">
        <v>8</v>
      </c>
      <c r="G439" s="45">
        <f>SUM(G440:G448)</f>
        <v>202545</v>
      </c>
      <c r="H439" s="45">
        <f>SUM(H440:H448)</f>
        <v>0</v>
      </c>
      <c r="I439" s="45">
        <f>SUM(I440:I448)</f>
        <v>0</v>
      </c>
      <c r="J439" s="45">
        <f>SUM(J440:J448)</f>
        <v>0</v>
      </c>
      <c r="K439" s="45"/>
      <c r="L439" s="33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261</v>
      </c>
      <c r="G440" s="3"/>
      <c r="H440" s="3"/>
      <c r="I440" s="3"/>
      <c r="J440" s="5"/>
      <c r="K440" s="5"/>
      <c r="L440" s="33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262</v>
      </c>
      <c r="G441" s="3"/>
      <c r="H441" s="3"/>
      <c r="I441" s="3"/>
      <c r="J441" s="5"/>
      <c r="K441" s="5"/>
      <c r="L441" s="33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263</v>
      </c>
      <c r="G442" s="3"/>
      <c r="H442" s="3"/>
      <c r="I442" s="3"/>
      <c r="J442" s="5"/>
      <c r="K442" s="5"/>
      <c r="L442" s="33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264</v>
      </c>
      <c r="G443" s="3"/>
      <c r="H443" s="3"/>
      <c r="I443" s="3"/>
      <c r="J443" s="5"/>
      <c r="K443" s="5"/>
      <c r="L443" s="33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265</v>
      </c>
      <c r="G444" s="3"/>
      <c r="H444" s="3"/>
      <c r="I444" s="3"/>
      <c r="J444" s="5"/>
      <c r="K444" s="5"/>
      <c r="L444" s="33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266</v>
      </c>
      <c r="G445" s="3"/>
      <c r="H445" s="3"/>
      <c r="I445" s="3"/>
      <c r="J445" s="5"/>
      <c r="K445" s="5"/>
      <c r="L445" s="33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267</v>
      </c>
      <c r="G446" s="3"/>
      <c r="H446" s="3"/>
      <c r="I446" s="3"/>
      <c r="J446" s="5"/>
      <c r="K446" s="5"/>
      <c r="L446" s="33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268</v>
      </c>
      <c r="G447" s="3"/>
      <c r="H447" s="3"/>
      <c r="I447" s="3"/>
      <c r="J447" s="5"/>
      <c r="K447" s="5"/>
      <c r="L447" s="33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269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33"/>
    </row>
    <row r="449" spans="1:12" x14ac:dyDescent="0.25">
      <c r="A449" s="3"/>
      <c r="B449" s="3"/>
      <c r="C449" s="3"/>
      <c r="D449" s="3"/>
      <c r="E449" s="3"/>
      <c r="F449" s="3" t="s">
        <v>668</v>
      </c>
      <c r="G449" s="16">
        <v>17213</v>
      </c>
      <c r="H449" s="16">
        <v>0</v>
      </c>
      <c r="I449" s="16"/>
      <c r="J449" s="5">
        <f>I449</f>
        <v>0</v>
      </c>
      <c r="K449" s="5"/>
      <c r="L449" s="33"/>
    </row>
    <row r="450" spans="1:12" x14ac:dyDescent="0.25">
      <c r="A450" s="3"/>
      <c r="B450" s="3"/>
      <c r="C450" s="3"/>
      <c r="D450" s="3"/>
      <c r="E450" s="3"/>
      <c r="F450" s="3" t="s">
        <v>664</v>
      </c>
      <c r="G450" s="16">
        <v>185332</v>
      </c>
      <c r="H450" s="16">
        <v>0</v>
      </c>
      <c r="I450" s="16"/>
      <c r="J450" s="5">
        <f>I450</f>
        <v>0</v>
      </c>
      <c r="K450" s="5"/>
      <c r="L450" s="33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33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270</v>
      </c>
      <c r="G452" s="3"/>
      <c r="H452" s="3"/>
      <c r="I452" s="3"/>
      <c r="J452" s="5"/>
      <c r="K452" s="5"/>
      <c r="L452" s="33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271</v>
      </c>
      <c r="G453" s="3"/>
      <c r="H453" s="3"/>
      <c r="I453" s="3"/>
      <c r="J453" s="5"/>
      <c r="K453" s="5"/>
      <c r="L453" s="33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272</v>
      </c>
      <c r="G454" s="3"/>
      <c r="H454" s="3"/>
      <c r="I454" s="3"/>
      <c r="J454" s="5"/>
      <c r="K454" s="5"/>
      <c r="L454" s="33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273</v>
      </c>
      <c r="G455" s="3"/>
      <c r="H455" s="3"/>
      <c r="I455" s="3"/>
      <c r="J455" s="5"/>
      <c r="K455" s="5"/>
      <c r="L455" s="33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33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274</v>
      </c>
      <c r="G457" s="3"/>
      <c r="H457" s="3"/>
      <c r="I457" s="3"/>
      <c r="J457" s="5"/>
      <c r="K457" s="5"/>
      <c r="L457" s="33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275</v>
      </c>
      <c r="G458" s="3"/>
      <c r="H458" s="3"/>
      <c r="I458" s="3"/>
      <c r="J458" s="5"/>
      <c r="K458" s="5"/>
      <c r="L458" s="33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276</v>
      </c>
      <c r="G459" s="2"/>
      <c r="H459" s="2"/>
      <c r="I459" s="2"/>
      <c r="J459" s="5"/>
      <c r="K459" s="5"/>
      <c r="L459" s="33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22">
        <f>SUM(G461:G463)</f>
        <v>12001280</v>
      </c>
      <c r="H460" s="22">
        <f>SUM(H461:H463)</f>
        <v>0</v>
      </c>
      <c r="I460" s="22">
        <f>SUM(I461:I463)</f>
        <v>2553000</v>
      </c>
      <c r="J460" s="22">
        <f>SUM(J461:J463)</f>
        <v>2553000</v>
      </c>
      <c r="K460" s="7"/>
      <c r="L460" s="33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6">
        <v>0</v>
      </c>
      <c r="I461" s="16">
        <v>2553000</v>
      </c>
      <c r="J461" s="5">
        <f>I461</f>
        <v>2553000</v>
      </c>
      <c r="K461" s="5"/>
      <c r="L461" s="33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6">
        <v>0</v>
      </c>
      <c r="I462" s="16">
        <v>0</v>
      </c>
      <c r="J462" s="5">
        <f>I462</f>
        <v>0</v>
      </c>
      <c r="K462" s="5"/>
      <c r="L462" s="33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6">
        <v>0</v>
      </c>
      <c r="I463" s="16">
        <v>0</v>
      </c>
      <c r="J463" s="5">
        <f>I463</f>
        <v>0</v>
      </c>
      <c r="K463" s="5"/>
      <c r="L463" s="33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33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33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33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33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33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33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277</v>
      </c>
      <c r="G470" s="2"/>
      <c r="H470" s="2"/>
      <c r="I470" s="2"/>
      <c r="J470" s="5"/>
      <c r="K470" s="5"/>
      <c r="L470" s="33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278</v>
      </c>
      <c r="G471" s="4"/>
      <c r="H471" s="4"/>
      <c r="I471" s="4"/>
      <c r="J471" s="5"/>
      <c r="K471" s="5"/>
      <c r="L471" s="33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279</v>
      </c>
      <c r="G472" s="3"/>
      <c r="H472" s="3"/>
      <c r="I472" s="3"/>
      <c r="J472" s="5"/>
      <c r="K472" s="5"/>
      <c r="L472" s="33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280</v>
      </c>
      <c r="G473" s="3"/>
      <c r="H473" s="3"/>
      <c r="I473" s="3"/>
      <c r="J473" s="5"/>
      <c r="K473" s="5"/>
      <c r="L473" s="33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33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281</v>
      </c>
      <c r="G475" s="3"/>
      <c r="H475" s="3"/>
      <c r="I475" s="3"/>
      <c r="J475" s="5"/>
      <c r="K475" s="5"/>
      <c r="L475" s="33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282</v>
      </c>
      <c r="G476" s="3"/>
      <c r="H476" s="3"/>
      <c r="I476" s="3"/>
      <c r="J476" s="5"/>
      <c r="K476" s="5"/>
      <c r="L476" s="33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283</v>
      </c>
      <c r="G477" s="3"/>
      <c r="H477" s="3"/>
      <c r="I477" s="3"/>
      <c r="J477" s="5"/>
      <c r="K477" s="5"/>
      <c r="L477" s="33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284</v>
      </c>
      <c r="G478" s="3"/>
      <c r="H478" s="3"/>
      <c r="I478" s="3"/>
      <c r="J478" s="5"/>
      <c r="K478" s="5"/>
      <c r="L478" s="33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285</v>
      </c>
      <c r="G479" s="3"/>
      <c r="H479" s="3"/>
      <c r="I479" s="3"/>
      <c r="J479" s="5"/>
      <c r="K479" s="5"/>
      <c r="L479" s="33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33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33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33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286</v>
      </c>
      <c r="G483" s="3"/>
      <c r="H483" s="3"/>
      <c r="I483" s="3"/>
      <c r="J483" s="5"/>
      <c r="K483" s="5"/>
      <c r="L483" s="33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33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287</v>
      </c>
      <c r="G485" s="3"/>
      <c r="H485" s="3"/>
      <c r="I485" s="3"/>
      <c r="J485" s="5"/>
      <c r="K485" s="5"/>
      <c r="L485" s="33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288</v>
      </c>
      <c r="G486" s="3"/>
      <c r="H486" s="3"/>
      <c r="I486" s="3"/>
      <c r="J486" s="5"/>
      <c r="K486" s="5"/>
      <c r="L486" s="33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289</v>
      </c>
      <c r="G487" s="3"/>
      <c r="H487" s="3"/>
      <c r="I487" s="3"/>
      <c r="J487" s="5"/>
      <c r="K487" s="5"/>
      <c r="L487" s="33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290</v>
      </c>
      <c r="G488" s="3"/>
      <c r="H488" s="3"/>
      <c r="I488" s="3"/>
      <c r="J488" s="5"/>
      <c r="K488" s="5"/>
      <c r="L488" s="33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33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291</v>
      </c>
      <c r="G490" s="3"/>
      <c r="H490" s="3"/>
      <c r="I490" s="3"/>
      <c r="J490" s="5"/>
      <c r="K490" s="5"/>
      <c r="L490" s="33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33"/>
    </row>
    <row r="492" spans="1:12" x14ac:dyDescent="0.25">
      <c r="A492" s="12">
        <v>5</v>
      </c>
      <c r="B492" s="12"/>
      <c r="C492" s="12"/>
      <c r="D492" s="12"/>
      <c r="E492" s="12"/>
      <c r="F492" s="12" t="s">
        <v>292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33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293</v>
      </c>
      <c r="G493" s="21">
        <f>+G494+G509+G541</f>
        <v>16196320</v>
      </c>
      <c r="H493" s="21">
        <f>+H494+H509+H541</f>
        <v>5252320</v>
      </c>
      <c r="I493" s="21">
        <f>+I494+I509+I541</f>
        <v>0</v>
      </c>
      <c r="J493" s="21">
        <f>+J494+J509+J541</f>
        <v>5252320</v>
      </c>
      <c r="K493" s="21"/>
      <c r="L493" s="33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6">
        <f>+G495+G497+G499+G503+G506</f>
        <v>11693719</v>
      </c>
      <c r="H494" s="46">
        <f>+H495+H497+H499+H503+H506</f>
        <v>2835746</v>
      </c>
      <c r="I494" s="46">
        <f>+I495+I497+I499+I503+I506</f>
        <v>0</v>
      </c>
      <c r="J494" s="46">
        <f>+J495+J497+J499+J503+J506</f>
        <v>2835746</v>
      </c>
      <c r="K494" s="46"/>
      <c r="L494" s="33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294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33"/>
    </row>
    <row r="496" spans="1:12" x14ac:dyDescent="0.25">
      <c r="A496" s="3"/>
      <c r="B496" s="3"/>
      <c r="C496" s="3"/>
      <c r="D496" s="3"/>
      <c r="E496" s="3">
        <v>31</v>
      </c>
      <c r="F496" s="3" t="s">
        <v>593</v>
      </c>
      <c r="G496" s="16">
        <v>7949568</v>
      </c>
      <c r="H496" s="5">
        <v>2403644</v>
      </c>
      <c r="I496" s="3"/>
      <c r="J496" s="5">
        <f>H496</f>
        <v>2403644</v>
      </c>
      <c r="K496" s="5"/>
      <c r="L496" s="33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295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33"/>
    </row>
    <row r="498" spans="1:12" x14ac:dyDescent="0.25">
      <c r="A498" s="3"/>
      <c r="B498" s="3"/>
      <c r="C498" s="3"/>
      <c r="D498" s="3"/>
      <c r="E498" s="3">
        <v>11</v>
      </c>
      <c r="F498" s="3" t="s">
        <v>594</v>
      </c>
      <c r="G498" s="16">
        <v>1530014</v>
      </c>
      <c r="H498" s="5">
        <v>172094</v>
      </c>
      <c r="I498" s="3"/>
      <c r="J498" s="5">
        <f>H498</f>
        <v>172094</v>
      </c>
      <c r="K498" s="5"/>
      <c r="L498" s="33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296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33"/>
    </row>
    <row r="500" spans="1:12" x14ac:dyDescent="0.25">
      <c r="A500" s="3"/>
      <c r="B500" s="3"/>
      <c r="C500" s="3"/>
      <c r="D500" s="3"/>
      <c r="E500" s="3"/>
      <c r="F500" s="3" t="s">
        <v>595</v>
      </c>
      <c r="G500" s="16">
        <v>285982</v>
      </c>
      <c r="H500" s="5">
        <v>2338</v>
      </c>
      <c r="I500" s="3"/>
      <c r="J500" s="5">
        <f>H500</f>
        <v>2338</v>
      </c>
      <c r="K500" s="5"/>
      <c r="L500" s="33"/>
    </row>
    <row r="501" spans="1:12" x14ac:dyDescent="0.25">
      <c r="A501" s="3"/>
      <c r="B501" s="3"/>
      <c r="C501" s="3"/>
      <c r="D501" s="3"/>
      <c r="E501" s="3"/>
      <c r="F501" s="3" t="s">
        <v>596</v>
      </c>
      <c r="G501" s="16">
        <v>626575</v>
      </c>
      <c r="H501" s="5">
        <v>2248</v>
      </c>
      <c r="I501" s="3"/>
      <c r="J501" s="5">
        <f>H501</f>
        <v>2248</v>
      </c>
      <c r="K501" s="5"/>
      <c r="L501" s="33"/>
    </row>
    <row r="502" spans="1:12" x14ac:dyDescent="0.25">
      <c r="A502" s="3"/>
      <c r="B502" s="3"/>
      <c r="C502" s="3"/>
      <c r="D502" s="3"/>
      <c r="E502" s="3"/>
      <c r="F502" s="3" t="s">
        <v>671</v>
      </c>
      <c r="G502" s="16">
        <v>0</v>
      </c>
      <c r="H502" s="5">
        <v>0</v>
      </c>
      <c r="I502" s="3"/>
      <c r="J502" s="5">
        <f>H502</f>
        <v>0</v>
      </c>
      <c r="K502" s="5"/>
      <c r="L502" s="33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297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33"/>
    </row>
    <row r="504" spans="1:12" x14ac:dyDescent="0.25">
      <c r="A504" s="3"/>
      <c r="B504" s="3"/>
      <c r="C504" s="3"/>
      <c r="D504" s="3"/>
      <c r="E504" s="3"/>
      <c r="F504" s="3" t="s">
        <v>598</v>
      </c>
      <c r="G504" s="16">
        <v>1289192</v>
      </c>
      <c r="H504" s="5">
        <v>168100</v>
      </c>
      <c r="I504" s="3"/>
      <c r="J504" s="5">
        <f>H504</f>
        <v>168100</v>
      </c>
      <c r="K504" s="5"/>
      <c r="L504" s="33"/>
    </row>
    <row r="505" spans="1:12" x14ac:dyDescent="0.25">
      <c r="A505" s="3"/>
      <c r="B505" s="3"/>
      <c r="C505" s="3"/>
      <c r="D505" s="3"/>
      <c r="E505" s="3"/>
      <c r="F505" s="3" t="s">
        <v>597</v>
      </c>
      <c r="G505" s="16">
        <v>462388</v>
      </c>
      <c r="H505" s="5">
        <v>87322</v>
      </c>
      <c r="I505" s="3"/>
      <c r="J505" s="5">
        <f>H505</f>
        <v>87322</v>
      </c>
      <c r="K505" s="5"/>
      <c r="L505" s="33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298</v>
      </c>
      <c r="G506" s="16">
        <f>G507</f>
        <v>0</v>
      </c>
      <c r="H506" s="16">
        <f>H507</f>
        <v>0</v>
      </c>
      <c r="I506" s="16">
        <f>I507</f>
        <v>0</v>
      </c>
      <c r="J506" s="5">
        <v>0</v>
      </c>
      <c r="K506" s="5"/>
      <c r="L506" s="33"/>
    </row>
    <row r="507" spans="1:12" x14ac:dyDescent="0.25">
      <c r="A507" s="3"/>
      <c r="B507" s="3"/>
      <c r="C507" s="3"/>
      <c r="D507" s="3"/>
      <c r="E507" s="3"/>
      <c r="F507" s="3" t="s">
        <v>674</v>
      </c>
      <c r="G507" s="16">
        <v>0</v>
      </c>
      <c r="H507" s="5">
        <v>0</v>
      </c>
      <c r="I507" s="16"/>
      <c r="J507" s="5">
        <v>0</v>
      </c>
      <c r="K507" s="5"/>
      <c r="L507" s="33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299</v>
      </c>
      <c r="G508" s="16">
        <v>0</v>
      </c>
      <c r="H508" s="5"/>
      <c r="I508" s="16"/>
      <c r="J508" s="5">
        <f>+G508+H508-I508</f>
        <v>0</v>
      </c>
      <c r="K508" s="5"/>
      <c r="L508" s="33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3" t="s">
        <v>17</v>
      </c>
      <c r="G509" s="47">
        <f>+G510+G517+G520+G521+G525+G528+G530+G534+G536</f>
        <v>554279</v>
      </c>
      <c r="H509" s="47">
        <f>+H510+H517+H520+H521+H525+H528+H530+H534+H536</f>
        <v>110976</v>
      </c>
      <c r="I509" s="47">
        <f>+I510+I517+I520+I521+I525+I528+I530+I534+I536</f>
        <v>0</v>
      </c>
      <c r="J509" s="47">
        <f>+J510+J517+J520+J521+J525+J528+J530+J534+J536</f>
        <v>110976</v>
      </c>
      <c r="K509" s="47"/>
      <c r="L509" s="33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300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33"/>
    </row>
    <row r="511" spans="1:12" x14ac:dyDescent="0.25">
      <c r="A511" s="3"/>
      <c r="B511" s="3"/>
      <c r="C511" s="3"/>
      <c r="D511" s="3"/>
      <c r="E511" s="3"/>
      <c r="F511" s="3" t="s">
        <v>599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33"/>
    </row>
    <row r="512" spans="1:12" x14ac:dyDescent="0.25">
      <c r="A512" s="3"/>
      <c r="B512" s="3"/>
      <c r="C512" s="3"/>
      <c r="D512" s="3"/>
      <c r="E512" s="3"/>
      <c r="F512" s="3" t="s">
        <v>600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33"/>
    </row>
    <row r="513" spans="1:12" ht="24" x14ac:dyDescent="0.25">
      <c r="A513" s="3"/>
      <c r="B513" s="3"/>
      <c r="C513" s="3"/>
      <c r="D513" s="3"/>
      <c r="E513" s="3"/>
      <c r="F513" s="3" t="s">
        <v>601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33"/>
    </row>
    <row r="514" spans="1:12" x14ac:dyDescent="0.25">
      <c r="A514" s="3"/>
      <c r="B514" s="3"/>
      <c r="C514" s="3"/>
      <c r="D514" s="3"/>
      <c r="E514" s="3"/>
      <c r="F514" s="3" t="s">
        <v>602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33"/>
    </row>
    <row r="515" spans="1:12" x14ac:dyDescent="0.25">
      <c r="A515" s="3"/>
      <c r="B515" s="3"/>
      <c r="C515" s="3"/>
      <c r="D515" s="3"/>
      <c r="E515" s="3"/>
      <c r="F515" s="3" t="s">
        <v>603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33"/>
    </row>
    <row r="516" spans="1:12" x14ac:dyDescent="0.25">
      <c r="A516" s="3"/>
      <c r="B516" s="3"/>
      <c r="C516" s="3"/>
      <c r="D516" s="3"/>
      <c r="E516" s="3"/>
      <c r="F516" s="3" t="s">
        <v>604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33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301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33"/>
    </row>
    <row r="518" spans="1:12" x14ac:dyDescent="0.25">
      <c r="A518" s="3"/>
      <c r="B518" s="3"/>
      <c r="C518" s="3"/>
      <c r="D518" s="3"/>
      <c r="E518" s="3"/>
      <c r="F518" s="3" t="s">
        <v>605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33"/>
    </row>
    <row r="519" spans="1:12" x14ac:dyDescent="0.25">
      <c r="A519" s="3"/>
      <c r="B519" s="3"/>
      <c r="C519" s="3"/>
      <c r="D519" s="3"/>
      <c r="E519" s="3"/>
      <c r="F519" s="3" t="s">
        <v>606</v>
      </c>
      <c r="G519" s="5">
        <v>1859</v>
      </c>
      <c r="H519" s="5">
        <v>0</v>
      </c>
      <c r="I519" s="3"/>
      <c r="J519" s="5">
        <f>H519</f>
        <v>0</v>
      </c>
      <c r="K519" s="5"/>
      <c r="L519" s="33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302</v>
      </c>
      <c r="G520" s="3"/>
      <c r="H520" s="5"/>
      <c r="I520" s="3"/>
      <c r="J520" s="5">
        <f>+G520+H520-I520</f>
        <v>0</v>
      </c>
      <c r="K520" s="5"/>
      <c r="L520" s="33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303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33"/>
    </row>
    <row r="522" spans="1:12" x14ac:dyDescent="0.25">
      <c r="A522" s="3"/>
      <c r="B522" s="3"/>
      <c r="C522" s="3"/>
      <c r="D522" s="3"/>
      <c r="E522" s="3"/>
      <c r="F522" s="3" t="s">
        <v>607</v>
      </c>
      <c r="G522" s="5">
        <v>2909</v>
      </c>
      <c r="H522" s="5">
        <v>2078</v>
      </c>
      <c r="I522" s="3"/>
      <c r="J522" s="5">
        <f>H522</f>
        <v>2078</v>
      </c>
      <c r="K522" s="5"/>
      <c r="L522" s="33"/>
    </row>
    <row r="523" spans="1:12" x14ac:dyDescent="0.25">
      <c r="A523" s="3"/>
      <c r="B523" s="3"/>
      <c r="C523" s="3"/>
      <c r="D523" s="3"/>
      <c r="E523" s="3"/>
      <c r="F523" s="3" t="s">
        <v>608</v>
      </c>
      <c r="G523" s="5">
        <v>11207</v>
      </c>
      <c r="H523" s="5">
        <v>3928</v>
      </c>
      <c r="I523" s="3"/>
      <c r="J523" s="5">
        <f>H523</f>
        <v>3928</v>
      </c>
      <c r="K523" s="5"/>
      <c r="L523" s="33"/>
    </row>
    <row r="524" spans="1:12" ht="24" x14ac:dyDescent="0.25">
      <c r="A524" s="3"/>
      <c r="B524" s="3"/>
      <c r="C524" s="3"/>
      <c r="D524" s="3"/>
      <c r="E524" s="3"/>
      <c r="F524" s="3" t="s">
        <v>609</v>
      </c>
      <c r="G524" s="5">
        <v>2524</v>
      </c>
      <c r="H524" s="5">
        <v>0</v>
      </c>
      <c r="I524" s="3"/>
      <c r="J524" s="5">
        <f>H524</f>
        <v>0</v>
      </c>
      <c r="K524" s="5"/>
      <c r="L524" s="33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304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33"/>
    </row>
    <row r="526" spans="1:12" x14ac:dyDescent="0.25">
      <c r="A526" s="3"/>
      <c r="B526" s="3"/>
      <c r="C526" s="3"/>
      <c r="D526" s="3"/>
      <c r="E526" s="3"/>
      <c r="F526" s="3" t="s">
        <v>610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33"/>
    </row>
    <row r="527" spans="1:12" x14ac:dyDescent="0.25">
      <c r="A527" s="3"/>
      <c r="B527" s="3"/>
      <c r="C527" s="3"/>
      <c r="D527" s="3"/>
      <c r="E527" s="3"/>
      <c r="F527" s="3" t="s">
        <v>611</v>
      </c>
      <c r="G527" s="5">
        <v>554</v>
      </c>
      <c r="H527" s="5">
        <v>0</v>
      </c>
      <c r="I527" s="3"/>
      <c r="J527" s="5">
        <f>H527</f>
        <v>0</v>
      </c>
      <c r="K527" s="5"/>
      <c r="L527" s="33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305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33"/>
    </row>
    <row r="529" spans="1:12" x14ac:dyDescent="0.25">
      <c r="A529" s="3"/>
      <c r="B529" s="3"/>
      <c r="C529" s="3"/>
      <c r="D529" s="3"/>
      <c r="E529" s="3"/>
      <c r="F529" s="3" t="s">
        <v>305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33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306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33"/>
    </row>
    <row r="531" spans="1:12" x14ac:dyDescent="0.25">
      <c r="A531" s="3"/>
      <c r="B531" s="3"/>
      <c r="C531" s="3"/>
      <c r="D531" s="3"/>
      <c r="E531" s="3"/>
      <c r="F531" s="3" t="s">
        <v>612</v>
      </c>
      <c r="G531" s="16">
        <v>4060</v>
      </c>
      <c r="H531" s="5">
        <v>0</v>
      </c>
      <c r="I531" s="3"/>
      <c r="J531" s="5">
        <f>H531</f>
        <v>0</v>
      </c>
      <c r="K531" s="5"/>
      <c r="L531" s="33"/>
    </row>
    <row r="532" spans="1:12" x14ac:dyDescent="0.25">
      <c r="A532" s="3"/>
      <c r="B532" s="3"/>
      <c r="C532" s="3"/>
      <c r="D532" s="3"/>
      <c r="E532" s="3"/>
      <c r="F532" s="3" t="s">
        <v>613</v>
      </c>
      <c r="G532" s="16">
        <v>0</v>
      </c>
      <c r="H532" s="5">
        <v>0</v>
      </c>
      <c r="I532" s="3"/>
      <c r="J532" s="5">
        <f t="shared" si="11"/>
        <v>0</v>
      </c>
      <c r="K532" s="5"/>
      <c r="L532" s="33"/>
    </row>
    <row r="533" spans="1:12" ht="24" x14ac:dyDescent="0.25">
      <c r="A533" s="3"/>
      <c r="B533" s="3"/>
      <c r="C533" s="3"/>
      <c r="D533" s="3"/>
      <c r="E533" s="3"/>
      <c r="F533" s="3" t="s">
        <v>614</v>
      </c>
      <c r="G533" s="16">
        <v>0</v>
      </c>
      <c r="H533" s="5">
        <v>0</v>
      </c>
      <c r="I533" s="3"/>
      <c r="J533" s="5">
        <f t="shared" si="11"/>
        <v>0</v>
      </c>
      <c r="K533" s="5"/>
      <c r="L533" s="33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307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33"/>
    </row>
    <row r="535" spans="1:12" x14ac:dyDescent="0.25">
      <c r="A535" s="3"/>
      <c r="B535" s="3"/>
      <c r="C535" s="3"/>
      <c r="D535" s="3"/>
      <c r="E535" s="3"/>
      <c r="F535" s="3" t="s">
        <v>615</v>
      </c>
      <c r="G535" s="16"/>
      <c r="H535" s="5">
        <v>0</v>
      </c>
      <c r="I535" s="3"/>
      <c r="J535" s="5">
        <f t="shared" si="11"/>
        <v>0</v>
      </c>
      <c r="K535" s="5"/>
      <c r="L535" s="33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308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33"/>
    </row>
    <row r="537" spans="1:12" x14ac:dyDescent="0.25">
      <c r="A537" s="3"/>
      <c r="B537" s="3"/>
      <c r="C537" s="3"/>
      <c r="D537" s="3"/>
      <c r="E537" s="3"/>
      <c r="F537" s="3" t="s">
        <v>616</v>
      </c>
      <c r="G537" s="16">
        <v>187</v>
      </c>
      <c r="H537" s="5">
        <v>0</v>
      </c>
      <c r="I537" s="3"/>
      <c r="J537" s="5">
        <f>H537</f>
        <v>0</v>
      </c>
      <c r="K537" s="5"/>
      <c r="L537" s="33"/>
    </row>
    <row r="538" spans="1:12" ht="24" x14ac:dyDescent="0.25">
      <c r="A538" s="3"/>
      <c r="B538" s="3"/>
      <c r="C538" s="3"/>
      <c r="D538" s="3"/>
      <c r="E538" s="3"/>
      <c r="F538" s="3" t="s">
        <v>617</v>
      </c>
      <c r="G538" s="16">
        <v>0</v>
      </c>
      <c r="H538" s="5">
        <v>0</v>
      </c>
      <c r="I538" s="3"/>
      <c r="J538" s="5">
        <f t="shared" si="11"/>
        <v>0</v>
      </c>
      <c r="K538" s="5"/>
      <c r="L538" s="33"/>
    </row>
    <row r="539" spans="1:12" ht="24" x14ac:dyDescent="0.25">
      <c r="A539" s="3"/>
      <c r="B539" s="3"/>
      <c r="C539" s="3"/>
      <c r="D539" s="3"/>
      <c r="E539" s="3"/>
      <c r="F539" s="3" t="s">
        <v>618</v>
      </c>
      <c r="G539" s="16">
        <v>0</v>
      </c>
      <c r="H539" s="5">
        <v>0</v>
      </c>
      <c r="I539" s="3"/>
      <c r="J539" s="5">
        <f t="shared" si="11"/>
        <v>0</v>
      </c>
      <c r="K539" s="5"/>
      <c r="L539" s="33"/>
    </row>
    <row r="540" spans="1:12" ht="24" x14ac:dyDescent="0.25">
      <c r="A540" s="3"/>
      <c r="B540" s="3"/>
      <c r="C540" s="3"/>
      <c r="D540" s="3"/>
      <c r="E540" s="3"/>
      <c r="F540" s="3" t="s">
        <v>619</v>
      </c>
      <c r="G540" s="16">
        <v>0</v>
      </c>
      <c r="H540" s="5">
        <v>0</v>
      </c>
      <c r="I540" s="3"/>
      <c r="J540" s="5">
        <f t="shared" si="11"/>
        <v>0</v>
      </c>
      <c r="K540" s="5"/>
      <c r="L540" s="33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3" t="s">
        <v>18</v>
      </c>
      <c r="G541" s="47">
        <f>+G542+G550+G552+G561+G566+G573+G575+G582+G588</f>
        <v>3948322</v>
      </c>
      <c r="H541" s="47">
        <f>+H542+H550+H552+H561+H566+H573+H575+H582+H588</f>
        <v>2305598</v>
      </c>
      <c r="I541" s="47">
        <f>+I542+I550+I552+I561+I566+I573+I575+I582+I588</f>
        <v>0</v>
      </c>
      <c r="J541" s="47">
        <f>+J542+J550+J552+J561+J566+J573+J575+J582+J588</f>
        <v>2305598</v>
      </c>
      <c r="K541" s="47"/>
      <c r="L541" s="33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309</v>
      </c>
      <c r="G542" s="21">
        <f>SUM(G543:G549)</f>
        <v>288536</v>
      </c>
      <c r="H542" s="21">
        <f>SUM(H543:H549)</f>
        <v>123625</v>
      </c>
      <c r="I542" s="21">
        <f>SUM(I543:I549)</f>
        <v>0</v>
      </c>
      <c r="J542" s="21">
        <f>SUM(J543:J549)</f>
        <v>123625</v>
      </c>
      <c r="K542" s="21"/>
      <c r="L542" s="33"/>
    </row>
    <row r="543" spans="1:12" x14ac:dyDescent="0.25">
      <c r="A543" s="3"/>
      <c r="B543" s="3"/>
      <c r="C543" s="3"/>
      <c r="D543" s="3"/>
      <c r="E543" s="3"/>
      <c r="F543" s="3" t="s">
        <v>620</v>
      </c>
      <c r="G543" s="16">
        <v>117862</v>
      </c>
      <c r="H543" s="5">
        <v>38158</v>
      </c>
      <c r="I543" s="3"/>
      <c r="J543" s="5">
        <f t="shared" ref="J543:J593" si="12">H543</f>
        <v>38158</v>
      </c>
      <c r="K543" s="5"/>
      <c r="L543" s="33"/>
    </row>
    <row r="544" spans="1:12" x14ac:dyDescent="0.25">
      <c r="A544" s="3"/>
      <c r="B544" s="3"/>
      <c r="C544" s="3"/>
      <c r="D544" s="3"/>
      <c r="E544" s="3"/>
      <c r="F544" s="3" t="s">
        <v>621</v>
      </c>
      <c r="G544" s="16">
        <v>10296</v>
      </c>
      <c r="H544" s="5">
        <v>10296</v>
      </c>
      <c r="I544" s="3"/>
      <c r="J544" s="5">
        <f t="shared" si="12"/>
        <v>10296</v>
      </c>
      <c r="K544" s="5"/>
      <c r="L544" s="33"/>
    </row>
    <row r="545" spans="1:12" x14ac:dyDescent="0.25">
      <c r="A545" s="3"/>
      <c r="B545" s="3"/>
      <c r="C545" s="3"/>
      <c r="D545" s="3"/>
      <c r="E545" s="3"/>
      <c r="F545" s="3" t="s">
        <v>622</v>
      </c>
      <c r="G545" s="16">
        <v>115342</v>
      </c>
      <c r="H545" s="5">
        <v>65980</v>
      </c>
      <c r="I545" s="3"/>
      <c r="J545" s="5">
        <f t="shared" si="12"/>
        <v>65980</v>
      </c>
      <c r="K545" s="5"/>
      <c r="L545" s="33"/>
    </row>
    <row r="546" spans="1:12" x14ac:dyDescent="0.25">
      <c r="A546" s="3"/>
      <c r="B546" s="3"/>
      <c r="C546" s="3"/>
      <c r="D546" s="3"/>
      <c r="E546" s="3"/>
      <c r="F546" s="3" t="s">
        <v>623</v>
      </c>
      <c r="G546" s="16">
        <v>25064</v>
      </c>
      <c r="H546" s="5">
        <v>4493</v>
      </c>
      <c r="I546" s="3"/>
      <c r="J546" s="5">
        <f t="shared" si="12"/>
        <v>4493</v>
      </c>
      <c r="K546" s="5"/>
      <c r="L546" s="33"/>
    </row>
    <row r="547" spans="1:12" x14ac:dyDescent="0.25">
      <c r="A547" s="3"/>
      <c r="B547" s="3"/>
      <c r="C547" s="3"/>
      <c r="D547" s="3"/>
      <c r="E547" s="3"/>
      <c r="F547" s="3" t="s">
        <v>672</v>
      </c>
      <c r="G547" s="16">
        <v>11107</v>
      </c>
      <c r="H547" s="5">
        <v>1392</v>
      </c>
      <c r="I547" s="3"/>
      <c r="J547" s="5">
        <f t="shared" si="12"/>
        <v>1392</v>
      </c>
      <c r="K547" s="5"/>
      <c r="L547" s="33"/>
    </row>
    <row r="548" spans="1:12" x14ac:dyDescent="0.25">
      <c r="A548" s="3"/>
      <c r="B548" s="3"/>
      <c r="C548" s="3"/>
      <c r="D548" s="3"/>
      <c r="E548" s="3"/>
      <c r="F548" s="3" t="s">
        <v>624</v>
      </c>
      <c r="G548" s="16">
        <v>8865</v>
      </c>
      <c r="H548" s="5">
        <v>3306</v>
      </c>
      <c r="I548" s="3"/>
      <c r="J548" s="5">
        <f t="shared" si="12"/>
        <v>3306</v>
      </c>
      <c r="K548" s="5"/>
      <c r="L548" s="33"/>
    </row>
    <row r="549" spans="1:12" x14ac:dyDescent="0.25">
      <c r="A549" s="3"/>
      <c r="B549" s="3"/>
      <c r="C549" s="3"/>
      <c r="D549" s="3"/>
      <c r="E549" s="3"/>
      <c r="F549" s="3" t="s">
        <v>625</v>
      </c>
      <c r="G549" s="16">
        <v>0</v>
      </c>
      <c r="H549" s="5"/>
      <c r="I549" s="3"/>
      <c r="J549" s="5">
        <f t="shared" si="12"/>
        <v>0</v>
      </c>
      <c r="K549" s="5"/>
      <c r="L549" s="33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310</v>
      </c>
      <c r="G550" s="21">
        <f>SUM(G551)</f>
        <v>6000</v>
      </c>
      <c r="H550" s="21">
        <f>SUM(H551)</f>
        <v>0</v>
      </c>
      <c r="I550" s="21">
        <f>SUM(I551)</f>
        <v>0</v>
      </c>
      <c r="J550" s="21">
        <f>SUM(J551)</f>
        <v>0</v>
      </c>
      <c r="K550" s="21"/>
      <c r="L550" s="33"/>
    </row>
    <row r="551" spans="1:12" x14ac:dyDescent="0.25">
      <c r="A551" s="3"/>
      <c r="B551" s="3"/>
      <c r="C551" s="3"/>
      <c r="D551" s="3"/>
      <c r="E551" s="3"/>
      <c r="F551" s="3" t="s">
        <v>626</v>
      </c>
      <c r="G551" s="16">
        <v>6000</v>
      </c>
      <c r="H551" s="5">
        <v>0</v>
      </c>
      <c r="I551" s="3"/>
      <c r="J551" s="5">
        <f t="shared" si="12"/>
        <v>0</v>
      </c>
      <c r="K551" s="5"/>
      <c r="L551" s="33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311</v>
      </c>
      <c r="G552" s="21">
        <f>SUM(G553:G560)</f>
        <v>2681747</v>
      </c>
      <c r="H552" s="21">
        <f>SUM(H553:H560)</f>
        <v>222933</v>
      </c>
      <c r="I552" s="21">
        <f>SUM(I553:I560)</f>
        <v>0</v>
      </c>
      <c r="J552" s="21">
        <f>SUM(J553:J560)</f>
        <v>222933</v>
      </c>
      <c r="K552" s="21"/>
      <c r="L552" s="33"/>
    </row>
    <row r="553" spans="1:12" ht="24" x14ac:dyDescent="0.25">
      <c r="A553" s="3"/>
      <c r="B553" s="3"/>
      <c r="C553" s="3"/>
      <c r="D553" s="3"/>
      <c r="E553" s="3"/>
      <c r="F553" s="3" t="s">
        <v>627</v>
      </c>
      <c r="G553" s="16">
        <v>139200</v>
      </c>
      <c r="H553" s="5">
        <v>45000</v>
      </c>
      <c r="I553" s="3"/>
      <c r="J553" s="5">
        <f t="shared" si="12"/>
        <v>45000</v>
      </c>
      <c r="K553" s="5"/>
      <c r="L553" s="33"/>
    </row>
    <row r="554" spans="1:12" x14ac:dyDescent="0.25">
      <c r="A554" s="3"/>
      <c r="B554" s="3"/>
      <c r="C554" s="3"/>
      <c r="D554" s="3"/>
      <c r="E554" s="3"/>
      <c r="F554" s="3" t="s">
        <v>673</v>
      </c>
      <c r="G554" s="16">
        <v>185606</v>
      </c>
      <c r="H554" s="5">
        <v>0</v>
      </c>
      <c r="I554" s="3"/>
      <c r="J554" s="5">
        <f t="shared" si="12"/>
        <v>0</v>
      </c>
      <c r="K554" s="5"/>
      <c r="L554" s="33"/>
    </row>
    <row r="555" spans="1:12" ht="24" x14ac:dyDescent="0.25">
      <c r="A555" s="3"/>
      <c r="B555" s="3"/>
      <c r="C555" s="3"/>
      <c r="D555" s="3"/>
      <c r="E555" s="3"/>
      <c r="F555" s="3" t="s">
        <v>628</v>
      </c>
      <c r="G555" s="16">
        <v>176500</v>
      </c>
      <c r="H555" s="5">
        <v>0</v>
      </c>
      <c r="I555" s="3"/>
      <c r="J555" s="5">
        <f t="shared" si="12"/>
        <v>0</v>
      </c>
      <c r="K555" s="5"/>
      <c r="L555" s="33"/>
    </row>
    <row r="556" spans="1:12" x14ac:dyDescent="0.25">
      <c r="A556" s="3"/>
      <c r="B556" s="3"/>
      <c r="C556" s="3"/>
      <c r="D556" s="3"/>
      <c r="E556" s="3"/>
      <c r="F556" s="3" t="s">
        <v>629</v>
      </c>
      <c r="G556" s="16">
        <v>39500</v>
      </c>
      <c r="H556" s="5">
        <v>5800</v>
      </c>
      <c r="I556" s="3"/>
      <c r="J556" s="5">
        <f t="shared" si="12"/>
        <v>5800</v>
      </c>
      <c r="K556" s="5"/>
      <c r="L556" s="33"/>
    </row>
    <row r="557" spans="1:12" x14ac:dyDescent="0.25">
      <c r="A557" s="3"/>
      <c r="B557" s="3"/>
      <c r="C557" s="3"/>
      <c r="D557" s="3"/>
      <c r="E557" s="3"/>
      <c r="F557" s="3" t="s">
        <v>658</v>
      </c>
      <c r="G557" s="16">
        <v>89602</v>
      </c>
      <c r="H557" s="5">
        <v>10528</v>
      </c>
      <c r="I557" s="3"/>
      <c r="J557" s="5">
        <f t="shared" si="12"/>
        <v>10528</v>
      </c>
      <c r="K557" s="5"/>
      <c r="L557" s="33"/>
    </row>
    <row r="558" spans="1:12" ht="24" x14ac:dyDescent="0.25">
      <c r="A558" s="3"/>
      <c r="B558" s="3"/>
      <c r="C558" s="3"/>
      <c r="D558" s="3"/>
      <c r="E558" s="3"/>
      <c r="F558" s="3" t="s">
        <v>630</v>
      </c>
      <c r="G558" s="16">
        <v>1058391</v>
      </c>
      <c r="H558" s="5">
        <v>37360</v>
      </c>
      <c r="I558" s="3"/>
      <c r="J558" s="5">
        <f t="shared" si="12"/>
        <v>37360</v>
      </c>
      <c r="K558" s="5"/>
      <c r="L558" s="33"/>
    </row>
    <row r="559" spans="1:12" x14ac:dyDescent="0.25">
      <c r="A559" s="3"/>
      <c r="B559" s="3"/>
      <c r="C559" s="3"/>
      <c r="D559" s="3"/>
      <c r="E559" s="3"/>
      <c r="F559" s="3" t="s">
        <v>631</v>
      </c>
      <c r="G559" s="16">
        <v>452148</v>
      </c>
      <c r="H559" s="5">
        <v>124245</v>
      </c>
      <c r="I559" s="3"/>
      <c r="J559" s="5">
        <f t="shared" si="12"/>
        <v>124245</v>
      </c>
      <c r="K559" s="5"/>
      <c r="L559" s="33"/>
    </row>
    <row r="560" spans="1:12" ht="24" x14ac:dyDescent="0.25">
      <c r="A560" s="3"/>
      <c r="B560" s="3"/>
      <c r="C560" s="3"/>
      <c r="D560" s="3"/>
      <c r="E560" s="3"/>
      <c r="F560" s="3" t="s">
        <v>632</v>
      </c>
      <c r="G560" s="16">
        <v>540800</v>
      </c>
      <c r="H560" s="5">
        <v>0</v>
      </c>
      <c r="I560" s="3"/>
      <c r="J560" s="5">
        <f t="shared" si="12"/>
        <v>0</v>
      </c>
      <c r="K560" s="5"/>
      <c r="L560" s="33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312</v>
      </c>
      <c r="G561" s="21">
        <f>SUM(G562:G565)</f>
        <v>6979</v>
      </c>
      <c r="H561" s="21">
        <f>SUM(H562:H565)</f>
        <v>10316</v>
      </c>
      <c r="I561" s="21">
        <f>SUM(I562:I565)</f>
        <v>0</v>
      </c>
      <c r="J561" s="21">
        <f>SUM(J562:J565)</f>
        <v>10316</v>
      </c>
      <c r="K561" s="21"/>
      <c r="L561" s="33"/>
    </row>
    <row r="562" spans="1:12" x14ac:dyDescent="0.25">
      <c r="A562" s="3"/>
      <c r="B562" s="3"/>
      <c r="C562" s="3"/>
      <c r="D562" s="3"/>
      <c r="E562" s="3"/>
      <c r="F562" s="3" t="s">
        <v>633</v>
      </c>
      <c r="G562" s="16">
        <v>5218</v>
      </c>
      <c r="H562" s="5">
        <v>6160</v>
      </c>
      <c r="I562" s="3"/>
      <c r="J562" s="5">
        <f t="shared" si="12"/>
        <v>6160</v>
      </c>
      <c r="K562" s="5"/>
      <c r="L562" s="33"/>
    </row>
    <row r="563" spans="1:12" x14ac:dyDescent="0.25">
      <c r="A563" s="3"/>
      <c r="B563" s="3"/>
      <c r="C563" s="3"/>
      <c r="D563" s="3"/>
      <c r="E563" s="3"/>
      <c r="F563" s="3" t="s">
        <v>634</v>
      </c>
      <c r="G563" s="16">
        <v>0</v>
      </c>
      <c r="H563" s="5"/>
      <c r="I563" s="3"/>
      <c r="J563" s="5">
        <f t="shared" si="12"/>
        <v>0</v>
      </c>
      <c r="K563" s="5"/>
      <c r="L563" s="33"/>
    </row>
    <row r="564" spans="1:12" x14ac:dyDescent="0.25">
      <c r="A564" s="3"/>
      <c r="B564" s="3"/>
      <c r="C564" s="3"/>
      <c r="D564" s="3"/>
      <c r="E564" s="3"/>
      <c r="F564" s="3" t="s">
        <v>635</v>
      </c>
      <c r="G564" s="16">
        <v>0</v>
      </c>
      <c r="H564" s="5"/>
      <c r="I564" s="3"/>
      <c r="J564" s="5">
        <f t="shared" si="12"/>
        <v>0</v>
      </c>
      <c r="K564" s="5"/>
      <c r="L564" s="33"/>
    </row>
    <row r="565" spans="1:12" ht="24" x14ac:dyDescent="0.25">
      <c r="A565" s="3"/>
      <c r="B565" s="3"/>
      <c r="C565" s="3"/>
      <c r="D565" s="3"/>
      <c r="E565" s="3"/>
      <c r="F565" s="3" t="s">
        <v>636</v>
      </c>
      <c r="G565" s="16">
        <v>1761</v>
      </c>
      <c r="H565" s="5">
        <v>4156</v>
      </c>
      <c r="I565" s="3"/>
      <c r="J565" s="5">
        <f t="shared" si="12"/>
        <v>4156</v>
      </c>
      <c r="K565" s="5"/>
      <c r="L565" s="33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313</v>
      </c>
      <c r="G566" s="21">
        <f>SUM(G567:G572)</f>
        <v>100607</v>
      </c>
      <c r="H566" s="21">
        <f>SUM(H567:H572)</f>
        <v>50248</v>
      </c>
      <c r="I566" s="21">
        <f>SUM(I567:I572)</f>
        <v>0</v>
      </c>
      <c r="J566" s="21">
        <f>SUM(J567:J572)</f>
        <v>50248</v>
      </c>
      <c r="K566" s="21"/>
      <c r="L566" s="33"/>
    </row>
    <row r="567" spans="1:12" x14ac:dyDescent="0.25">
      <c r="A567" s="3"/>
      <c r="B567" s="3"/>
      <c r="C567" s="3"/>
      <c r="D567" s="3"/>
      <c r="E567" s="3"/>
      <c r="F567" s="3" t="s">
        <v>637</v>
      </c>
      <c r="G567" s="16">
        <v>25104</v>
      </c>
      <c r="H567" s="5">
        <v>12533</v>
      </c>
      <c r="I567" s="3"/>
      <c r="J567" s="5">
        <f t="shared" si="12"/>
        <v>12533</v>
      </c>
      <c r="K567" s="5"/>
      <c r="L567" s="33"/>
    </row>
    <row r="568" spans="1:12" ht="36" x14ac:dyDescent="0.25">
      <c r="A568" s="3"/>
      <c r="B568" s="3"/>
      <c r="C568" s="3"/>
      <c r="D568" s="3"/>
      <c r="E568" s="3"/>
      <c r="F568" s="3" t="s">
        <v>639</v>
      </c>
      <c r="G568" s="16">
        <v>25086</v>
      </c>
      <c r="H568" s="5">
        <v>0</v>
      </c>
      <c r="I568" s="3"/>
      <c r="J568" s="5">
        <f t="shared" si="12"/>
        <v>0</v>
      </c>
      <c r="K568" s="5"/>
      <c r="L568" s="33"/>
    </row>
    <row r="569" spans="1:12" ht="24" x14ac:dyDescent="0.25">
      <c r="A569" s="3"/>
      <c r="B569" s="3"/>
      <c r="C569" s="3"/>
      <c r="D569" s="3"/>
      <c r="E569" s="3"/>
      <c r="F569" s="3" t="s">
        <v>638</v>
      </c>
      <c r="G569" s="16">
        <v>19212</v>
      </c>
      <c r="H569" s="5">
        <v>1740</v>
      </c>
      <c r="I569" s="3"/>
      <c r="J569" s="5">
        <f t="shared" si="12"/>
        <v>1740</v>
      </c>
      <c r="K569" s="5"/>
      <c r="L569" s="33"/>
    </row>
    <row r="570" spans="1:12" x14ac:dyDescent="0.25">
      <c r="A570" s="3"/>
      <c r="B570" s="3"/>
      <c r="C570" s="3"/>
      <c r="D570" s="3"/>
      <c r="E570" s="3"/>
      <c r="F570" s="3" t="s">
        <v>640</v>
      </c>
      <c r="G570" s="16">
        <v>28349</v>
      </c>
      <c r="H570" s="5">
        <v>35975</v>
      </c>
      <c r="I570" s="3"/>
      <c r="J570" s="5">
        <f t="shared" si="12"/>
        <v>35975</v>
      </c>
      <c r="K570" s="5"/>
      <c r="L570" s="33"/>
    </row>
    <row r="571" spans="1:12" ht="24" x14ac:dyDescent="0.25">
      <c r="A571" s="3"/>
      <c r="B571" s="3"/>
      <c r="C571" s="3"/>
      <c r="D571" s="3"/>
      <c r="E571" s="3"/>
      <c r="F571" s="3" t="s">
        <v>716</v>
      </c>
      <c r="G571" s="16">
        <v>1356</v>
      </c>
      <c r="H571" s="5">
        <v>0</v>
      </c>
      <c r="I571" s="3"/>
      <c r="J571" s="5">
        <f t="shared" si="12"/>
        <v>0</v>
      </c>
      <c r="K571" s="5"/>
      <c r="L571" s="33"/>
    </row>
    <row r="572" spans="1:12" x14ac:dyDescent="0.25">
      <c r="A572" s="3"/>
      <c r="B572" s="3"/>
      <c r="C572" s="3"/>
      <c r="D572" s="3"/>
      <c r="E572" s="3"/>
      <c r="F572" s="3" t="s">
        <v>641</v>
      </c>
      <c r="G572" s="16">
        <v>1500</v>
      </c>
      <c r="H572" s="5">
        <v>0</v>
      </c>
      <c r="I572" s="3"/>
      <c r="J572" s="5">
        <f t="shared" si="12"/>
        <v>0</v>
      </c>
      <c r="K572" s="5"/>
      <c r="L572" s="33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314</v>
      </c>
      <c r="G573" s="21">
        <f>G574</f>
        <v>12101</v>
      </c>
      <c r="H573" s="21">
        <f>H574</f>
        <v>0</v>
      </c>
      <c r="I573" s="21">
        <f>I574</f>
        <v>0</v>
      </c>
      <c r="J573" s="21">
        <f>J574</f>
        <v>0</v>
      </c>
      <c r="K573" s="21"/>
      <c r="L573" s="33"/>
    </row>
    <row r="574" spans="1:12" ht="36" x14ac:dyDescent="0.25">
      <c r="A574" s="3"/>
      <c r="B574" s="3"/>
      <c r="C574" s="3"/>
      <c r="D574" s="3"/>
      <c r="E574" s="3"/>
      <c r="F574" s="3" t="s">
        <v>642</v>
      </c>
      <c r="G574" s="16">
        <v>12101</v>
      </c>
      <c r="H574" s="5">
        <v>0</v>
      </c>
      <c r="I574" s="3"/>
      <c r="J574" s="5">
        <f t="shared" si="12"/>
        <v>0</v>
      </c>
      <c r="K574" s="5"/>
      <c r="L574" s="33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315</v>
      </c>
      <c r="G575" s="21">
        <f>SUM(G576:G581)</f>
        <v>35266</v>
      </c>
      <c r="H575" s="21">
        <f>SUM(H576:H581)</f>
        <v>5050</v>
      </c>
      <c r="I575" s="21">
        <f>SUM(I576:I581)</f>
        <v>0</v>
      </c>
      <c r="J575" s="21">
        <f>SUM(J576:J581)</f>
        <v>5050</v>
      </c>
      <c r="K575" s="21"/>
      <c r="L575" s="33"/>
    </row>
    <row r="576" spans="1:12" x14ac:dyDescent="0.25">
      <c r="A576" s="3"/>
      <c r="B576" s="3"/>
      <c r="C576" s="3"/>
      <c r="D576" s="3"/>
      <c r="E576" s="3"/>
      <c r="F576" s="3" t="s">
        <v>643</v>
      </c>
      <c r="G576" s="16">
        <v>5843</v>
      </c>
      <c r="H576" s="5">
        <v>0</v>
      </c>
      <c r="I576" s="3"/>
      <c r="J576" s="5">
        <f t="shared" si="12"/>
        <v>0</v>
      </c>
      <c r="K576" s="5"/>
      <c r="L576" s="33"/>
    </row>
    <row r="577" spans="1:12" x14ac:dyDescent="0.25">
      <c r="A577" s="3"/>
      <c r="B577" s="3"/>
      <c r="C577" s="3"/>
      <c r="D577" s="3"/>
      <c r="E577" s="3"/>
      <c r="F577" s="3" t="s">
        <v>644</v>
      </c>
      <c r="G577" s="16">
        <v>3296</v>
      </c>
      <c r="H577" s="5">
        <v>795</v>
      </c>
      <c r="I577" s="3"/>
      <c r="J577" s="5">
        <f t="shared" si="12"/>
        <v>795</v>
      </c>
      <c r="K577" s="5"/>
      <c r="L577" s="33"/>
    </row>
    <row r="578" spans="1:12" x14ac:dyDescent="0.25">
      <c r="A578" s="3"/>
      <c r="B578" s="3"/>
      <c r="C578" s="3"/>
      <c r="D578" s="3"/>
      <c r="E578" s="3"/>
      <c r="F578" s="3" t="s">
        <v>645</v>
      </c>
      <c r="G578" s="16">
        <v>26127</v>
      </c>
      <c r="H578" s="5">
        <v>2321</v>
      </c>
      <c r="I578" s="3"/>
      <c r="J578" s="5">
        <f t="shared" si="12"/>
        <v>2321</v>
      </c>
      <c r="K578" s="5"/>
      <c r="L578" s="33"/>
    </row>
    <row r="579" spans="1:12" x14ac:dyDescent="0.25">
      <c r="A579" s="3"/>
      <c r="B579" s="3"/>
      <c r="C579" s="3"/>
      <c r="D579" s="3"/>
      <c r="E579" s="3"/>
      <c r="F579" s="3" t="s">
        <v>646</v>
      </c>
      <c r="G579" s="16">
        <v>0</v>
      </c>
      <c r="H579" s="5">
        <v>1934</v>
      </c>
      <c r="I579" s="3"/>
      <c r="J579" s="5">
        <f t="shared" si="12"/>
        <v>1934</v>
      </c>
      <c r="K579" s="5"/>
      <c r="L579" s="33"/>
    </row>
    <row r="580" spans="1:12" x14ac:dyDescent="0.25">
      <c r="A580" s="3"/>
      <c r="B580" s="3"/>
      <c r="C580" s="3"/>
      <c r="D580" s="3"/>
      <c r="E580" s="3"/>
      <c r="F580" s="3" t="s">
        <v>647</v>
      </c>
      <c r="G580" s="16">
        <v>0</v>
      </c>
      <c r="H580" s="5"/>
      <c r="I580" s="3"/>
      <c r="J580" s="5">
        <f t="shared" si="12"/>
        <v>0</v>
      </c>
      <c r="K580" s="5"/>
      <c r="L580" s="33"/>
    </row>
    <row r="581" spans="1:12" x14ac:dyDescent="0.25">
      <c r="A581" s="3"/>
      <c r="B581" s="3"/>
      <c r="C581" s="3"/>
      <c r="D581" s="3"/>
      <c r="E581" s="3"/>
      <c r="F581" s="3" t="s">
        <v>648</v>
      </c>
      <c r="G581" s="16">
        <v>0</v>
      </c>
      <c r="H581" s="5"/>
      <c r="I581" s="3"/>
      <c r="J581" s="5">
        <f t="shared" si="12"/>
        <v>0</v>
      </c>
      <c r="K581" s="5"/>
      <c r="L581" s="33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316</v>
      </c>
      <c r="G582" s="21">
        <f>SUM(G583:G587)</f>
        <v>8410</v>
      </c>
      <c r="H582" s="21">
        <f>SUM(H583:H587)</f>
        <v>10254</v>
      </c>
      <c r="I582" s="21">
        <f>SUM(I583:I587)</f>
        <v>0</v>
      </c>
      <c r="J582" s="21">
        <f>SUM(J583:J587)</f>
        <v>10254</v>
      </c>
      <c r="K582" s="21"/>
      <c r="L582" s="33"/>
    </row>
    <row r="583" spans="1:12" x14ac:dyDescent="0.25">
      <c r="A583" s="3"/>
      <c r="B583" s="3"/>
      <c r="C583" s="3"/>
      <c r="D583" s="3"/>
      <c r="E583" s="3"/>
      <c r="F583" s="3" t="s">
        <v>649</v>
      </c>
      <c r="G583" s="16">
        <v>250</v>
      </c>
      <c r="H583" s="5">
        <v>0</v>
      </c>
      <c r="I583" s="3"/>
      <c r="J583" s="5">
        <f t="shared" si="12"/>
        <v>0</v>
      </c>
      <c r="K583" s="5"/>
      <c r="L583" s="33"/>
    </row>
    <row r="584" spans="1:12" x14ac:dyDescent="0.25">
      <c r="A584" s="3"/>
      <c r="B584" s="3"/>
      <c r="C584" s="3"/>
      <c r="D584" s="3"/>
      <c r="E584" s="3"/>
      <c r="F584" s="3" t="s">
        <v>650</v>
      </c>
      <c r="G584" s="16">
        <v>1160</v>
      </c>
      <c r="H584" s="5">
        <v>3254</v>
      </c>
      <c r="I584" s="3"/>
      <c r="J584" s="5">
        <f t="shared" si="12"/>
        <v>3254</v>
      </c>
      <c r="K584" s="5"/>
      <c r="L584" s="33"/>
    </row>
    <row r="585" spans="1:12" x14ac:dyDescent="0.25">
      <c r="A585" s="3"/>
      <c r="B585" s="3"/>
      <c r="C585" s="3"/>
      <c r="D585" s="3"/>
      <c r="E585" s="3"/>
      <c r="F585" s="3" t="s">
        <v>651</v>
      </c>
      <c r="G585" s="16">
        <v>7000</v>
      </c>
      <c r="H585" s="5">
        <v>0</v>
      </c>
      <c r="I585" s="3"/>
      <c r="J585" s="5">
        <f t="shared" si="12"/>
        <v>0</v>
      </c>
      <c r="K585" s="5"/>
      <c r="L585" s="33"/>
    </row>
    <row r="586" spans="1:12" x14ac:dyDescent="0.25">
      <c r="A586" s="3"/>
      <c r="B586" s="3"/>
      <c r="C586" s="3"/>
      <c r="D586" s="3"/>
      <c r="E586" s="3"/>
      <c r="F586" s="3" t="s">
        <v>652</v>
      </c>
      <c r="G586" s="16">
        <v>0</v>
      </c>
      <c r="H586" s="5">
        <v>7000</v>
      </c>
      <c r="I586" s="3"/>
      <c r="J586" s="5">
        <f t="shared" si="12"/>
        <v>7000</v>
      </c>
      <c r="K586" s="5"/>
      <c r="L586" s="33"/>
    </row>
    <row r="587" spans="1:12" x14ac:dyDescent="0.25">
      <c r="A587" s="3"/>
      <c r="B587" s="3"/>
      <c r="C587" s="3"/>
      <c r="D587" s="3"/>
      <c r="E587" s="3"/>
      <c r="F587" s="3" t="s">
        <v>653</v>
      </c>
      <c r="G587" s="16">
        <v>0</v>
      </c>
      <c r="H587" s="5"/>
      <c r="I587" s="3"/>
      <c r="J587" s="5">
        <f t="shared" si="12"/>
        <v>0</v>
      </c>
      <c r="K587" s="5"/>
      <c r="L587" s="33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317</v>
      </c>
      <c r="G588" s="21">
        <f>SUM(G589:G593)</f>
        <v>808676</v>
      </c>
      <c r="H588" s="21">
        <f>SUM(H589:H593)</f>
        <v>1883172</v>
      </c>
      <c r="I588" s="21">
        <f>SUM(I589:I593)</f>
        <v>0</v>
      </c>
      <c r="J588" s="21">
        <f>SUM(J589:J593)</f>
        <v>1883172</v>
      </c>
      <c r="K588" s="21"/>
      <c r="L588" s="33"/>
    </row>
    <row r="589" spans="1:12" x14ac:dyDescent="0.25">
      <c r="A589" s="3"/>
      <c r="B589" s="3"/>
      <c r="C589" s="3"/>
      <c r="D589" s="3"/>
      <c r="E589" s="3"/>
      <c r="F589" s="3" t="s">
        <v>654</v>
      </c>
      <c r="G589" s="16">
        <v>0</v>
      </c>
      <c r="H589" s="5"/>
      <c r="I589" s="3"/>
      <c r="J589" s="5">
        <f t="shared" si="12"/>
        <v>0</v>
      </c>
      <c r="K589" s="5"/>
      <c r="L589" s="33"/>
    </row>
    <row r="590" spans="1:12" ht="24" x14ac:dyDescent="0.25">
      <c r="A590" s="3"/>
      <c r="B590" s="3"/>
      <c r="C590" s="3"/>
      <c r="D590" s="3"/>
      <c r="E590" s="3"/>
      <c r="F590" s="3" t="s">
        <v>826</v>
      </c>
      <c r="G590" s="16"/>
      <c r="H590" s="5">
        <v>1498311</v>
      </c>
      <c r="I590" s="3"/>
      <c r="J590" s="5">
        <f t="shared" si="12"/>
        <v>1498311</v>
      </c>
      <c r="K590" s="5"/>
      <c r="L590" s="33"/>
    </row>
    <row r="591" spans="1:12" x14ac:dyDescent="0.25">
      <c r="A591" s="3"/>
      <c r="B591" s="3"/>
      <c r="C591" s="3"/>
      <c r="D591" s="3"/>
      <c r="E591" s="3"/>
      <c r="F591" s="3" t="s">
        <v>827</v>
      </c>
      <c r="G591" s="16"/>
      <c r="H591" s="5">
        <v>316669</v>
      </c>
      <c r="I591" s="3"/>
      <c r="J591" s="5">
        <f t="shared" si="12"/>
        <v>316669</v>
      </c>
      <c r="K591" s="5"/>
      <c r="L591" s="33"/>
    </row>
    <row r="592" spans="1:12" ht="24" x14ac:dyDescent="0.25">
      <c r="A592" s="3"/>
      <c r="B592" s="3"/>
      <c r="C592" s="3"/>
      <c r="D592" s="3"/>
      <c r="E592" s="3"/>
      <c r="F592" s="3" t="s">
        <v>655</v>
      </c>
      <c r="G592" s="16">
        <v>194237</v>
      </c>
      <c r="H592" s="5">
        <v>61871</v>
      </c>
      <c r="I592" s="3"/>
      <c r="J592" s="5">
        <f t="shared" si="12"/>
        <v>61871</v>
      </c>
      <c r="K592" s="5"/>
      <c r="L592" s="33"/>
    </row>
    <row r="593" spans="1:12" x14ac:dyDescent="0.25">
      <c r="A593" s="3"/>
      <c r="B593" s="3"/>
      <c r="C593" s="3"/>
      <c r="D593" s="3"/>
      <c r="E593" s="3"/>
      <c r="F593" s="3" t="s">
        <v>317</v>
      </c>
      <c r="G593" s="16">
        <v>614439</v>
      </c>
      <c r="H593" s="5">
        <v>6321</v>
      </c>
      <c r="I593" s="3"/>
      <c r="J593" s="5">
        <f t="shared" si="12"/>
        <v>6321</v>
      </c>
      <c r="K593" s="5"/>
      <c r="L593" s="33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318</v>
      </c>
      <c r="G594" s="2"/>
      <c r="H594" s="5"/>
      <c r="I594" s="2"/>
      <c r="J594" s="5"/>
      <c r="K594" s="5"/>
      <c r="L594" s="33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33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319</v>
      </c>
      <c r="G596" s="3"/>
      <c r="H596" s="5"/>
      <c r="I596" s="3"/>
      <c r="J596" s="5"/>
      <c r="K596" s="5"/>
      <c r="L596" s="33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320</v>
      </c>
      <c r="G597" s="3"/>
      <c r="H597" s="5"/>
      <c r="I597" s="3"/>
      <c r="J597" s="5"/>
      <c r="K597" s="5"/>
      <c r="L597" s="33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33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321</v>
      </c>
      <c r="G599" s="3"/>
      <c r="H599" s="5"/>
      <c r="I599" s="3"/>
      <c r="J599" s="5"/>
      <c r="K599" s="5"/>
      <c r="L599" s="33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322</v>
      </c>
      <c r="G600" s="3"/>
      <c r="H600" s="5"/>
      <c r="I600" s="3"/>
      <c r="J600" s="5"/>
      <c r="K600" s="5"/>
      <c r="L600" s="33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33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323</v>
      </c>
      <c r="G602" s="3"/>
      <c r="H602" s="5"/>
      <c r="I602" s="3"/>
      <c r="J602" s="5"/>
      <c r="K602" s="5"/>
      <c r="L602" s="33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324</v>
      </c>
      <c r="G603" s="3"/>
      <c r="H603" s="5"/>
      <c r="I603" s="3"/>
      <c r="J603" s="5"/>
      <c r="K603" s="5"/>
      <c r="L603" s="33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33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325</v>
      </c>
      <c r="G605" s="3"/>
      <c r="H605" s="5"/>
      <c r="I605" s="3"/>
      <c r="J605" s="5"/>
      <c r="K605" s="5"/>
      <c r="L605" s="33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326</v>
      </c>
      <c r="G606" s="3"/>
      <c r="H606" s="5"/>
      <c r="I606" s="3"/>
      <c r="J606" s="5"/>
      <c r="K606" s="5"/>
      <c r="L606" s="33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327</v>
      </c>
      <c r="G607" s="3"/>
      <c r="H607" s="5"/>
      <c r="I607" s="3"/>
      <c r="J607" s="5"/>
      <c r="K607" s="5"/>
      <c r="L607" s="33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328</v>
      </c>
      <c r="G608" s="3"/>
      <c r="H608" s="5"/>
      <c r="I608" s="3"/>
      <c r="J608" s="5"/>
      <c r="K608" s="5"/>
      <c r="L608" s="33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33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329</v>
      </c>
      <c r="G610" s="3"/>
      <c r="H610" s="5"/>
      <c r="I610" s="3"/>
      <c r="J610" s="5"/>
      <c r="K610" s="5"/>
      <c r="L610" s="33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330</v>
      </c>
      <c r="G611" s="3"/>
      <c r="H611" s="5"/>
      <c r="I611" s="3"/>
      <c r="J611" s="5"/>
      <c r="K611" s="5"/>
      <c r="L611" s="33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331</v>
      </c>
      <c r="G612" s="3"/>
      <c r="H612" s="5"/>
      <c r="I612" s="3"/>
      <c r="J612" s="5"/>
      <c r="K612" s="5"/>
      <c r="L612" s="33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33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332</v>
      </c>
      <c r="G614" s="3"/>
      <c r="H614" s="5"/>
      <c r="I614" s="3"/>
      <c r="J614" s="5"/>
      <c r="K614" s="5"/>
      <c r="L614" s="33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333</v>
      </c>
      <c r="G615" s="3"/>
      <c r="H615" s="5"/>
      <c r="I615" s="3"/>
      <c r="J615" s="5"/>
      <c r="K615" s="5"/>
      <c r="L615" s="33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33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334</v>
      </c>
      <c r="G617" s="3"/>
      <c r="H617" s="5"/>
      <c r="I617" s="3"/>
      <c r="J617" s="5"/>
      <c r="K617" s="5"/>
      <c r="L617" s="33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335</v>
      </c>
      <c r="G618" s="4"/>
      <c r="H618" s="5"/>
      <c r="I618" s="4"/>
      <c r="J618" s="5"/>
      <c r="K618" s="5"/>
      <c r="L618" s="33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336</v>
      </c>
      <c r="G619" s="3"/>
      <c r="H619" s="5"/>
      <c r="I619" s="3"/>
      <c r="J619" s="5"/>
      <c r="K619" s="5"/>
      <c r="L619" s="33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337</v>
      </c>
      <c r="G620" s="3"/>
      <c r="H620" s="5"/>
      <c r="I620" s="3"/>
      <c r="J620" s="5"/>
      <c r="K620" s="5"/>
      <c r="L620" s="33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338</v>
      </c>
      <c r="G621" s="3"/>
      <c r="H621" s="5"/>
      <c r="I621" s="3"/>
      <c r="J621" s="5"/>
      <c r="K621" s="5"/>
      <c r="L621" s="33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339</v>
      </c>
      <c r="G622" s="3"/>
      <c r="H622" s="5"/>
      <c r="I622" s="3"/>
      <c r="J622" s="5"/>
      <c r="K622" s="5"/>
      <c r="L622" s="33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340</v>
      </c>
      <c r="G623" s="3"/>
      <c r="H623" s="5"/>
      <c r="I623" s="3"/>
      <c r="J623" s="5"/>
      <c r="K623" s="5"/>
      <c r="L623" s="33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33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341</v>
      </c>
      <c r="G625" s="3"/>
      <c r="H625" s="5"/>
      <c r="I625" s="3"/>
      <c r="J625" s="5"/>
      <c r="K625" s="5"/>
      <c r="L625" s="33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342</v>
      </c>
      <c r="G626" s="3"/>
      <c r="H626" s="5"/>
      <c r="I626" s="3"/>
      <c r="J626" s="5"/>
      <c r="K626" s="5"/>
      <c r="L626" s="33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343</v>
      </c>
      <c r="G627" s="2"/>
      <c r="H627" s="5"/>
      <c r="I627" s="2"/>
      <c r="J627" s="5"/>
      <c r="K627" s="5"/>
      <c r="L627" s="33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33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344</v>
      </c>
      <c r="G629" s="3"/>
      <c r="H629" s="5"/>
      <c r="I629" s="3"/>
      <c r="J629" s="5"/>
      <c r="K629" s="5"/>
      <c r="L629" s="33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345</v>
      </c>
      <c r="G630" s="3"/>
      <c r="H630" s="5"/>
      <c r="I630" s="3"/>
      <c r="J630" s="5"/>
      <c r="K630" s="5"/>
      <c r="L630" s="33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33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346</v>
      </c>
      <c r="G632" s="3"/>
      <c r="H632" s="5"/>
      <c r="I632" s="3"/>
      <c r="J632" s="5"/>
      <c r="K632" s="5"/>
      <c r="L632" s="33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347</v>
      </c>
      <c r="G633" s="3"/>
      <c r="H633" s="5"/>
      <c r="I633" s="3"/>
      <c r="J633" s="5"/>
      <c r="K633" s="5"/>
      <c r="L633" s="33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33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348</v>
      </c>
      <c r="G635" s="3"/>
      <c r="H635" s="5"/>
      <c r="I635" s="3"/>
      <c r="J635" s="5"/>
      <c r="K635" s="5"/>
      <c r="L635" s="33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349</v>
      </c>
      <c r="G636" s="3"/>
      <c r="H636" s="5"/>
      <c r="I636" s="3"/>
      <c r="J636" s="5"/>
      <c r="K636" s="5"/>
      <c r="L636" s="33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350</v>
      </c>
      <c r="G637" s="2"/>
      <c r="H637" s="5"/>
      <c r="I637" s="2"/>
      <c r="J637" s="5"/>
      <c r="K637" s="5"/>
      <c r="L637" s="33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33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351</v>
      </c>
      <c r="G639" s="3"/>
      <c r="H639" s="5"/>
      <c r="I639" s="3"/>
      <c r="J639" s="5"/>
      <c r="K639" s="5"/>
      <c r="L639" s="33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352</v>
      </c>
      <c r="G640" s="3"/>
      <c r="H640" s="5"/>
      <c r="I640" s="3"/>
      <c r="J640" s="5"/>
      <c r="K640" s="5"/>
      <c r="L640" s="33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33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353</v>
      </c>
      <c r="G642" s="3"/>
      <c r="H642" s="5"/>
      <c r="I642" s="3"/>
      <c r="J642" s="5"/>
      <c r="K642" s="5"/>
      <c r="L642" s="33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354</v>
      </c>
      <c r="G643" s="3"/>
      <c r="H643" s="5"/>
      <c r="I643" s="3"/>
      <c r="J643" s="5"/>
      <c r="K643" s="5"/>
      <c r="L643" s="33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33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355</v>
      </c>
      <c r="G645" s="3"/>
      <c r="H645" s="5"/>
      <c r="I645" s="3"/>
      <c r="J645" s="5"/>
      <c r="K645" s="5"/>
      <c r="L645" s="33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356</v>
      </c>
      <c r="G646" s="3"/>
      <c r="H646" s="5"/>
      <c r="I646" s="3"/>
      <c r="J646" s="5"/>
      <c r="K646" s="5"/>
      <c r="L646" s="33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33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33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33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357</v>
      </c>
      <c r="G650" s="3"/>
      <c r="H650" s="5"/>
      <c r="I650" s="3"/>
      <c r="J650" s="5"/>
      <c r="K650" s="5"/>
      <c r="L650" s="33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358</v>
      </c>
      <c r="G651" s="3"/>
      <c r="H651" s="5"/>
      <c r="I651" s="3"/>
      <c r="J651" s="5"/>
      <c r="K651" s="5"/>
      <c r="L651" s="33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359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33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33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360</v>
      </c>
      <c r="G654" s="3"/>
      <c r="H654" s="5"/>
      <c r="I654" s="3"/>
      <c r="J654" s="5"/>
      <c r="K654" s="5"/>
      <c r="L654" s="33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361</v>
      </c>
      <c r="G655" s="3"/>
      <c r="H655" s="5"/>
      <c r="I655" s="3"/>
      <c r="J655" s="5"/>
      <c r="K655" s="5"/>
      <c r="L655" s="33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362</v>
      </c>
      <c r="G656" s="3"/>
      <c r="H656" s="5"/>
      <c r="I656" s="3"/>
      <c r="J656" s="5"/>
      <c r="K656" s="5"/>
      <c r="L656" s="33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363</v>
      </c>
      <c r="G657" s="3"/>
      <c r="H657" s="5"/>
      <c r="I657" s="3"/>
      <c r="J657" s="5"/>
      <c r="K657" s="5"/>
      <c r="L657" s="33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364</v>
      </c>
      <c r="G658" s="3"/>
      <c r="H658" s="5"/>
      <c r="I658" s="3"/>
      <c r="J658" s="5"/>
      <c r="K658" s="5"/>
      <c r="L658" s="33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365</v>
      </c>
      <c r="G659" s="3"/>
      <c r="H659" s="5"/>
      <c r="I659" s="3"/>
      <c r="J659" s="5"/>
      <c r="K659" s="5"/>
      <c r="L659" s="33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366</v>
      </c>
      <c r="G660" s="3"/>
      <c r="H660" s="5"/>
      <c r="I660" s="3"/>
      <c r="J660" s="5"/>
      <c r="K660" s="5"/>
      <c r="L660" s="33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33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367</v>
      </c>
      <c r="G662" s="3"/>
      <c r="H662" s="5"/>
      <c r="I662" s="3"/>
      <c r="J662" s="5"/>
      <c r="K662" s="5"/>
      <c r="L662" s="33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368</v>
      </c>
      <c r="G663" s="3"/>
      <c r="H663" s="5"/>
      <c r="I663" s="3"/>
      <c r="J663" s="5"/>
      <c r="K663" s="5"/>
      <c r="L663" s="33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33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369</v>
      </c>
      <c r="G665" s="3"/>
      <c r="H665" s="5"/>
      <c r="I665" s="3"/>
      <c r="J665" s="5"/>
      <c r="K665" s="5"/>
      <c r="L665" s="33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370</v>
      </c>
      <c r="G666" s="3"/>
      <c r="H666" s="5"/>
      <c r="I666" s="3"/>
      <c r="J666" s="5"/>
      <c r="K666" s="5"/>
      <c r="L666" s="33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371</v>
      </c>
      <c r="G667" s="3"/>
      <c r="H667" s="5"/>
      <c r="I667" s="3"/>
      <c r="J667" s="5"/>
      <c r="K667" s="5"/>
      <c r="L667" s="33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372</v>
      </c>
      <c r="G668" s="3"/>
      <c r="H668" s="5"/>
      <c r="I668" s="3"/>
      <c r="J668" s="5"/>
      <c r="K668" s="5"/>
      <c r="L668" s="33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373</v>
      </c>
      <c r="G669" s="3"/>
      <c r="H669" s="5"/>
      <c r="I669" s="3"/>
      <c r="J669" s="5"/>
      <c r="K669" s="5"/>
      <c r="L669" s="33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374</v>
      </c>
      <c r="G670" s="4"/>
      <c r="H670" s="5"/>
      <c r="I670" s="4"/>
      <c r="J670" s="5"/>
      <c r="K670" s="5"/>
      <c r="L670" s="33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374</v>
      </c>
      <c r="G671" s="3"/>
      <c r="H671" s="5"/>
      <c r="I671" s="3"/>
      <c r="J671" s="5"/>
      <c r="K671" s="5"/>
      <c r="L671" s="33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33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33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6">
        <f>SUM(G675:G682)</f>
        <v>139700</v>
      </c>
      <c r="H674" s="46">
        <f>SUM(H675:H682)</f>
        <v>178500</v>
      </c>
      <c r="I674" s="46">
        <f>SUM(I675:I682)</f>
        <v>0</v>
      </c>
      <c r="J674" s="46">
        <f>SUM(J675:J682)</f>
        <v>178500</v>
      </c>
      <c r="K674" s="46"/>
      <c r="L674" s="33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375</v>
      </c>
      <c r="G675" s="3"/>
      <c r="H675" s="5"/>
      <c r="I675" s="3"/>
      <c r="J675" s="5"/>
      <c r="K675" s="5"/>
      <c r="L675" s="33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376</v>
      </c>
      <c r="G676" s="3"/>
      <c r="H676" s="5"/>
      <c r="I676" s="3"/>
      <c r="J676" s="5"/>
      <c r="K676" s="5"/>
      <c r="L676" s="33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377</v>
      </c>
      <c r="G677" s="3"/>
      <c r="H677" s="5"/>
      <c r="I677" s="3"/>
      <c r="J677" s="5"/>
      <c r="K677" s="5"/>
      <c r="L677" s="33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378</v>
      </c>
      <c r="G678" s="3"/>
      <c r="H678" s="5"/>
      <c r="I678" s="3"/>
      <c r="J678" s="5"/>
      <c r="K678" s="5"/>
      <c r="L678" s="33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379</v>
      </c>
      <c r="G679" s="3"/>
      <c r="H679" s="5"/>
      <c r="I679" s="3"/>
      <c r="J679" s="5"/>
      <c r="K679" s="5"/>
      <c r="L679" s="33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33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380</v>
      </c>
      <c r="G681" s="3"/>
      <c r="H681" s="5"/>
      <c r="I681" s="3"/>
      <c r="J681" s="5"/>
      <c r="K681" s="5"/>
      <c r="L681" s="33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381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33"/>
    </row>
    <row r="683" spans="1:12" x14ac:dyDescent="0.25">
      <c r="A683" s="3"/>
      <c r="B683" s="3"/>
      <c r="C683" s="3"/>
      <c r="D683" s="3"/>
      <c r="E683" s="3"/>
      <c r="F683" s="3" t="s">
        <v>656</v>
      </c>
      <c r="G683" s="16">
        <v>0</v>
      </c>
      <c r="H683" s="5">
        <v>0</v>
      </c>
      <c r="I683" s="3"/>
      <c r="J683" s="5">
        <f>+G683+H683-I683</f>
        <v>0</v>
      </c>
      <c r="K683" s="5"/>
      <c r="L683" s="33"/>
    </row>
    <row r="684" spans="1:12" ht="24" x14ac:dyDescent="0.25">
      <c r="A684" s="3"/>
      <c r="B684" s="3"/>
      <c r="C684" s="3"/>
      <c r="D684" s="3"/>
      <c r="E684" s="3"/>
      <c r="F684" s="3" t="s">
        <v>657</v>
      </c>
      <c r="G684" s="16">
        <v>0</v>
      </c>
      <c r="H684" s="5">
        <v>0</v>
      </c>
      <c r="I684" s="3"/>
      <c r="J684" s="5">
        <f>+G684+H684-I684</f>
        <v>0</v>
      </c>
      <c r="K684" s="5"/>
      <c r="L684" s="33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6">
        <v>0</v>
      </c>
      <c r="H685" s="5">
        <v>0</v>
      </c>
      <c r="I685" s="3"/>
      <c r="J685" s="5">
        <f>+G685+H685-I685</f>
        <v>0</v>
      </c>
      <c r="K685" s="5"/>
      <c r="L685" s="33"/>
    </row>
    <row r="686" spans="1:12" x14ac:dyDescent="0.25">
      <c r="A686" s="3"/>
      <c r="B686" s="3"/>
      <c r="C686" s="3"/>
      <c r="D686" s="3"/>
      <c r="E686" s="3"/>
      <c r="F686" s="3" t="s">
        <v>675</v>
      </c>
      <c r="G686" s="16">
        <v>139700</v>
      </c>
      <c r="H686" s="5">
        <v>178500</v>
      </c>
      <c r="I686" s="3">
        <v>0</v>
      </c>
      <c r="J686" s="5">
        <f>H686</f>
        <v>178500</v>
      </c>
      <c r="K686" s="5"/>
      <c r="L686" s="33"/>
    </row>
    <row r="687" spans="1:12" x14ac:dyDescent="0.25">
      <c r="A687" s="1">
        <v>6</v>
      </c>
      <c r="B687" s="1"/>
      <c r="C687" s="1"/>
      <c r="D687" s="1"/>
      <c r="E687" s="1"/>
      <c r="F687" s="1" t="s">
        <v>382</v>
      </c>
      <c r="G687" s="1">
        <v>0</v>
      </c>
      <c r="H687" s="5"/>
      <c r="I687" s="1"/>
      <c r="J687" s="5"/>
      <c r="K687" s="5"/>
      <c r="L687" s="33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383</v>
      </c>
      <c r="G688" s="2"/>
      <c r="H688" s="5"/>
      <c r="I688" s="2"/>
      <c r="J688" s="5"/>
      <c r="K688" s="5"/>
      <c r="L688" s="33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384</v>
      </c>
      <c r="G689" s="2"/>
      <c r="H689" s="5"/>
      <c r="I689" s="2"/>
      <c r="J689" s="5"/>
      <c r="K689" s="5"/>
      <c r="L689" s="33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385</v>
      </c>
      <c r="G690" s="2"/>
      <c r="H690" s="5"/>
      <c r="I690" s="2"/>
      <c r="J690" s="5"/>
      <c r="K690" s="5"/>
      <c r="L690" s="33"/>
    </row>
    <row r="691" spans="1:12" x14ac:dyDescent="0.25">
      <c r="A691" s="41">
        <v>7</v>
      </c>
      <c r="B691" s="41"/>
      <c r="C691" s="41"/>
      <c r="D691" s="41"/>
      <c r="E691" s="41"/>
      <c r="F691" s="1" t="s">
        <v>386</v>
      </c>
      <c r="G691" s="1"/>
      <c r="H691" s="5"/>
      <c r="I691" s="1"/>
      <c r="J691" s="5"/>
      <c r="K691" s="5"/>
      <c r="L691" s="33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387</v>
      </c>
      <c r="G692" s="2"/>
      <c r="H692" s="5"/>
      <c r="I692" s="2"/>
      <c r="J692" s="5"/>
      <c r="K692" s="5"/>
      <c r="L692" s="33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388</v>
      </c>
      <c r="G693" s="4"/>
      <c r="H693" s="5"/>
      <c r="I693" s="4"/>
      <c r="J693" s="5"/>
      <c r="K693" s="5"/>
      <c r="L693" s="33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389</v>
      </c>
      <c r="G694" s="4"/>
      <c r="H694" s="5"/>
      <c r="I694" s="4"/>
      <c r="J694" s="5"/>
      <c r="K694" s="5"/>
      <c r="L694" s="33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390</v>
      </c>
      <c r="G695" s="4"/>
      <c r="H695" s="5"/>
      <c r="I695" s="4"/>
      <c r="J695" s="5"/>
      <c r="K695" s="5"/>
      <c r="L695" s="33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391</v>
      </c>
      <c r="G696" s="4"/>
      <c r="H696" s="5"/>
      <c r="I696" s="4"/>
      <c r="J696" s="5"/>
      <c r="K696" s="5"/>
      <c r="L696" s="33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392</v>
      </c>
      <c r="G697" s="4"/>
      <c r="H697" s="5"/>
      <c r="I697" s="4"/>
      <c r="J697" s="5"/>
      <c r="K697" s="5"/>
      <c r="L697" s="33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393</v>
      </c>
      <c r="G698" s="4"/>
      <c r="H698" s="5"/>
      <c r="I698" s="4"/>
      <c r="J698" s="5"/>
      <c r="K698" s="5"/>
      <c r="L698" s="33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394</v>
      </c>
      <c r="G699" s="2"/>
      <c r="H699" s="5"/>
      <c r="I699" s="2"/>
      <c r="J699" s="5"/>
      <c r="K699" s="5"/>
      <c r="L699" s="33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395</v>
      </c>
      <c r="G700" s="4"/>
      <c r="H700" s="5"/>
      <c r="I700" s="4"/>
      <c r="J700" s="5"/>
      <c r="K700" s="5"/>
      <c r="L700" s="33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396</v>
      </c>
      <c r="G701" s="4"/>
      <c r="H701" s="5"/>
      <c r="I701" s="4"/>
      <c r="J701" s="5"/>
      <c r="K701" s="5"/>
      <c r="L701" s="33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397</v>
      </c>
      <c r="G702" s="4"/>
      <c r="H702" s="5"/>
      <c r="I702" s="4"/>
      <c r="J702" s="5"/>
      <c r="K702" s="5"/>
      <c r="L702" s="33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398</v>
      </c>
      <c r="G703" s="4"/>
      <c r="H703" s="5"/>
      <c r="I703" s="4"/>
      <c r="J703" s="5"/>
      <c r="K703" s="5"/>
      <c r="L703" s="33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399</v>
      </c>
      <c r="G704" s="4"/>
      <c r="H704" s="5"/>
      <c r="I704" s="4"/>
      <c r="J704" s="5"/>
      <c r="K704" s="5"/>
      <c r="L704" s="33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400</v>
      </c>
      <c r="G705" s="4"/>
      <c r="H705" s="5"/>
      <c r="I705" s="4"/>
      <c r="J705" s="5"/>
      <c r="K705" s="5"/>
      <c r="L705" s="33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401</v>
      </c>
      <c r="G706" s="2"/>
      <c r="H706" s="5"/>
      <c r="I706" s="2"/>
      <c r="J706" s="5"/>
      <c r="K706" s="5"/>
      <c r="L706" s="33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402</v>
      </c>
      <c r="G707" s="4"/>
      <c r="H707" s="5"/>
      <c r="I707" s="4"/>
      <c r="J707" s="5"/>
      <c r="K707" s="5"/>
      <c r="L707" s="33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403</v>
      </c>
      <c r="G708" s="4"/>
      <c r="H708" s="5"/>
      <c r="I708" s="4"/>
      <c r="J708" s="5"/>
      <c r="K708" s="5"/>
      <c r="L708" s="33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404</v>
      </c>
      <c r="G709" s="4"/>
      <c r="H709" s="5"/>
      <c r="I709" s="4"/>
      <c r="J709" s="5"/>
      <c r="K709" s="5"/>
      <c r="L709" s="33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405</v>
      </c>
      <c r="G710" s="4"/>
      <c r="H710" s="5"/>
      <c r="I710" s="4"/>
      <c r="J710" s="5"/>
      <c r="K710" s="5"/>
      <c r="L710" s="33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406</v>
      </c>
      <c r="G711" s="4"/>
      <c r="H711" s="5"/>
      <c r="I711" s="4"/>
      <c r="J711" s="5"/>
      <c r="K711" s="5"/>
      <c r="L711" s="33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407</v>
      </c>
      <c r="G712" s="4"/>
      <c r="H712" s="5"/>
      <c r="I712" s="4"/>
      <c r="J712" s="5"/>
      <c r="K712" s="5"/>
      <c r="L712" s="33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408</v>
      </c>
      <c r="G713" s="2"/>
      <c r="H713" s="5"/>
      <c r="I713" s="2"/>
      <c r="J713" s="5"/>
      <c r="K713" s="5"/>
      <c r="L713" s="33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409</v>
      </c>
      <c r="G714" s="4"/>
      <c r="H714" s="5"/>
      <c r="I714" s="4"/>
      <c r="J714" s="5"/>
      <c r="K714" s="5"/>
      <c r="L714" s="33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410</v>
      </c>
      <c r="G715" s="4"/>
      <c r="H715" s="5"/>
      <c r="I715" s="4"/>
      <c r="J715" s="5"/>
      <c r="K715" s="5"/>
      <c r="L715" s="33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411</v>
      </c>
      <c r="G716" s="2"/>
      <c r="H716" s="5"/>
      <c r="I716" s="2"/>
      <c r="J716" s="5"/>
      <c r="K716" s="5"/>
      <c r="L716" s="33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412</v>
      </c>
      <c r="G717" s="4"/>
      <c r="H717" s="5"/>
      <c r="I717" s="4"/>
      <c r="J717" s="5"/>
      <c r="K717" s="5"/>
      <c r="L717" s="33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413</v>
      </c>
      <c r="G718" s="4"/>
      <c r="H718" s="5"/>
      <c r="I718" s="4"/>
      <c r="J718" s="5"/>
      <c r="K718" s="5"/>
      <c r="L718" s="33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414</v>
      </c>
      <c r="G719" s="2"/>
      <c r="H719" s="5"/>
      <c r="I719" s="2"/>
      <c r="J719" s="5"/>
      <c r="K719" s="5"/>
      <c r="L719" s="33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415</v>
      </c>
      <c r="G720" s="4"/>
      <c r="H720" s="5"/>
      <c r="I720" s="4"/>
      <c r="J720" s="5"/>
      <c r="K720" s="5"/>
      <c r="L720" s="33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416</v>
      </c>
      <c r="G721" s="4"/>
      <c r="H721" s="5"/>
      <c r="I721" s="4"/>
      <c r="J721" s="5"/>
      <c r="K721" s="5"/>
      <c r="L721" s="33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417</v>
      </c>
      <c r="G722" s="4"/>
      <c r="H722" s="5"/>
      <c r="I722" s="4"/>
      <c r="J722" s="5"/>
      <c r="K722" s="5"/>
      <c r="L722" s="33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418</v>
      </c>
      <c r="G723" s="4"/>
      <c r="H723" s="5"/>
      <c r="I723" s="4"/>
      <c r="J723" s="5"/>
      <c r="K723" s="5"/>
      <c r="L723" s="33"/>
    </row>
    <row r="724" spans="1:12" x14ac:dyDescent="0.25">
      <c r="A724" s="1">
        <v>8</v>
      </c>
      <c r="B724" s="1"/>
      <c r="C724" s="1"/>
      <c r="D724" s="1"/>
      <c r="E724" s="1"/>
      <c r="F724" s="1" t="s">
        <v>419</v>
      </c>
      <c r="G724" s="1"/>
      <c r="H724" s="5"/>
      <c r="I724" s="1"/>
      <c r="J724" s="5"/>
      <c r="K724" s="5"/>
      <c r="L724" s="33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420</v>
      </c>
      <c r="G725" s="2"/>
      <c r="H725" s="5"/>
      <c r="I725" s="2"/>
      <c r="J725" s="5"/>
      <c r="K725" s="5"/>
      <c r="L725" s="33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421</v>
      </c>
      <c r="G726" s="3"/>
      <c r="H726" s="5"/>
      <c r="I726" s="3"/>
      <c r="J726" s="5"/>
      <c r="K726" s="5"/>
      <c r="L726" s="33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422</v>
      </c>
      <c r="G727" s="3"/>
      <c r="H727" s="5"/>
      <c r="I727" s="3"/>
      <c r="J727" s="5"/>
      <c r="K727" s="5"/>
      <c r="L727" s="33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423</v>
      </c>
      <c r="G728" s="3"/>
      <c r="H728" s="5"/>
      <c r="I728" s="3"/>
      <c r="J728" s="5"/>
      <c r="K728" s="5"/>
      <c r="L728" s="33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424</v>
      </c>
      <c r="G729" s="3"/>
      <c r="H729" s="5"/>
      <c r="I729" s="3"/>
      <c r="J729" s="5"/>
      <c r="K729" s="5"/>
      <c r="L729" s="33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425</v>
      </c>
      <c r="G730" s="3"/>
      <c r="H730" s="5"/>
      <c r="I730" s="3"/>
      <c r="J730" s="5"/>
      <c r="K730" s="5"/>
      <c r="L730" s="33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426</v>
      </c>
      <c r="G731" s="2"/>
      <c r="H731" s="5"/>
      <c r="I731" s="2"/>
      <c r="J731" s="5"/>
      <c r="K731" s="5"/>
      <c r="L731" s="33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427</v>
      </c>
      <c r="G732" s="3"/>
      <c r="H732" s="5"/>
      <c r="I732" s="3"/>
      <c r="J732" s="5"/>
      <c r="K732" s="5"/>
      <c r="L732" s="33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428</v>
      </c>
      <c r="G733" s="3"/>
      <c r="H733" s="5"/>
      <c r="I733" s="3"/>
      <c r="J733" s="5"/>
      <c r="K733" s="5"/>
      <c r="L733" s="33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429</v>
      </c>
      <c r="G734" s="3"/>
      <c r="H734" s="5"/>
      <c r="I734" s="3"/>
      <c r="J734" s="5"/>
      <c r="K734" s="5"/>
      <c r="L734" s="33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430</v>
      </c>
      <c r="G735" s="3"/>
      <c r="H735" s="5"/>
      <c r="I735" s="3"/>
      <c r="J735" s="5"/>
      <c r="K735" s="5"/>
      <c r="L735" s="33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431</v>
      </c>
      <c r="G736" s="3"/>
      <c r="H736" s="5"/>
      <c r="I736" s="3"/>
      <c r="J736" s="5"/>
      <c r="K736" s="5"/>
      <c r="L736" s="33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432</v>
      </c>
      <c r="G737" s="3"/>
      <c r="H737" s="5"/>
      <c r="I737" s="3"/>
      <c r="J737" s="5"/>
      <c r="K737" s="5"/>
      <c r="L737" s="33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433</v>
      </c>
      <c r="G738" s="3"/>
      <c r="H738" s="5"/>
      <c r="I738" s="3"/>
      <c r="J738" s="5"/>
      <c r="K738" s="5"/>
      <c r="L738" s="33"/>
    </row>
    <row r="739" spans="1:12" x14ac:dyDescent="0.25">
      <c r="A739" s="1">
        <v>9</v>
      </c>
      <c r="B739" s="1"/>
      <c r="C739" s="1"/>
      <c r="D739" s="1"/>
      <c r="E739" s="1"/>
      <c r="F739" s="1" t="s">
        <v>434</v>
      </c>
      <c r="G739" s="1"/>
      <c r="H739" s="5"/>
      <c r="I739" s="1"/>
      <c r="J739" s="5"/>
      <c r="K739" s="5"/>
      <c r="L739" s="33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435</v>
      </c>
      <c r="G740" s="2"/>
      <c r="H740" s="5"/>
      <c r="I740" s="2"/>
      <c r="J740" s="5"/>
      <c r="K740" s="5"/>
      <c r="L740" s="33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436</v>
      </c>
      <c r="G741" s="2"/>
      <c r="H741" s="5"/>
      <c r="I741" s="2"/>
      <c r="J741" s="5"/>
      <c r="K741" s="5"/>
      <c r="L741" s="33"/>
    </row>
    <row r="742" spans="1:12" x14ac:dyDescent="0.25">
      <c r="A742" s="42">
        <v>9</v>
      </c>
      <c r="B742" s="42">
        <v>3</v>
      </c>
      <c r="C742" s="42"/>
      <c r="D742" s="42"/>
      <c r="E742" s="42"/>
      <c r="F742" s="42" t="s">
        <v>437</v>
      </c>
      <c r="G742" s="42"/>
      <c r="H742" s="5"/>
      <c r="I742" s="42"/>
      <c r="J742" s="5"/>
      <c r="K742" s="5"/>
      <c r="L742" s="33"/>
    </row>
    <row r="743" spans="1:12" x14ac:dyDescent="0.25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</row>
    <row r="744" spans="1:12" x14ac:dyDescent="0.25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</row>
    <row r="745" spans="1:12" x14ac:dyDescent="0.25">
      <c r="A745" s="41">
        <v>1</v>
      </c>
      <c r="B745" s="41" t="s">
        <v>438</v>
      </c>
      <c r="C745" s="41" t="s">
        <v>439</v>
      </c>
      <c r="D745" s="41" t="s">
        <v>440</v>
      </c>
      <c r="E745" s="41"/>
      <c r="F745" s="33"/>
      <c r="G745" s="33"/>
      <c r="H745" s="33"/>
      <c r="I745" s="33"/>
      <c r="J745" s="33"/>
      <c r="K745" s="33"/>
      <c r="L745" s="33"/>
    </row>
  </sheetData>
  <mergeCells count="1">
    <mergeCell ref="G1:J1"/>
  </mergeCells>
  <hyperlinks>
    <hyperlink ref="A691" location="_ftn1" display="_ftn1"/>
    <hyperlink ref="A745" location="_ftnref1" display="_ftnref1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zoomScale="93" zoomScaleNormal="93" workbookViewId="0">
      <selection activeCell="F12" sqref="F12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7" width="12.7109375" customWidth="1"/>
    <col min="8" max="8" width="12" customWidth="1"/>
  </cols>
  <sheetData>
    <row r="1" spans="2:8" ht="33.75" customHeight="1" thickBot="1" x14ac:dyDescent="0.3">
      <c r="B1" s="591" t="s">
        <v>1269</v>
      </c>
      <c r="C1" s="591"/>
      <c r="D1" s="591"/>
      <c r="E1" s="591"/>
      <c r="F1" s="591"/>
      <c r="G1" s="591"/>
      <c r="H1" s="591"/>
    </row>
    <row r="2" spans="2:8" x14ac:dyDescent="0.25">
      <c r="B2" s="447" t="s">
        <v>697</v>
      </c>
      <c r="C2" s="448"/>
      <c r="D2" s="448"/>
      <c r="E2" s="448"/>
      <c r="F2" s="448"/>
      <c r="G2" s="448"/>
      <c r="H2" s="449"/>
    </row>
    <row r="3" spans="2:8" x14ac:dyDescent="0.25">
      <c r="B3" s="450" t="s">
        <v>1195</v>
      </c>
      <c r="C3" s="451"/>
      <c r="D3" s="451"/>
      <c r="E3" s="451"/>
      <c r="F3" s="451"/>
      <c r="G3" s="451"/>
      <c r="H3" s="452"/>
    </row>
    <row r="4" spans="2:8" x14ac:dyDescent="0.25">
      <c r="B4" s="450" t="s">
        <v>688</v>
      </c>
      <c r="C4" s="451"/>
      <c r="D4" s="451"/>
      <c r="E4" s="451"/>
      <c r="F4" s="451"/>
      <c r="G4" s="451"/>
      <c r="H4" s="452"/>
    </row>
    <row r="5" spans="2:8" x14ac:dyDescent="0.25">
      <c r="B5" s="450" t="s">
        <v>1308</v>
      </c>
      <c r="C5" s="451"/>
      <c r="D5" s="451"/>
      <c r="E5" s="451"/>
      <c r="F5" s="451"/>
      <c r="G5" s="451"/>
      <c r="H5" s="452"/>
    </row>
    <row r="6" spans="2:8" ht="15.75" thickBot="1" x14ac:dyDescent="0.3">
      <c r="B6" s="453" t="s">
        <v>949</v>
      </c>
      <c r="C6" s="454"/>
      <c r="D6" s="454"/>
      <c r="E6" s="454"/>
      <c r="F6" s="454"/>
      <c r="G6" s="454"/>
      <c r="H6" s="455"/>
    </row>
    <row r="7" spans="2:8" ht="15.75" thickBot="1" x14ac:dyDescent="0.3">
      <c r="B7" s="487" t="s">
        <v>849</v>
      </c>
      <c r="C7" s="515" t="s">
        <v>689</v>
      </c>
      <c r="D7" s="592"/>
      <c r="E7" s="592"/>
      <c r="F7" s="592"/>
      <c r="G7" s="516"/>
      <c r="H7" s="487" t="s">
        <v>1197</v>
      </c>
    </row>
    <row r="8" spans="2:8" ht="24.75" customHeight="1" thickBot="1" x14ac:dyDescent="0.3">
      <c r="B8" s="489"/>
      <c r="C8" s="356" t="s">
        <v>1050</v>
      </c>
      <c r="D8" s="370" t="s">
        <v>691</v>
      </c>
      <c r="E8" s="356" t="s">
        <v>684</v>
      </c>
      <c r="F8" s="356" t="s">
        <v>685</v>
      </c>
      <c r="G8" s="356" t="s">
        <v>692</v>
      </c>
      <c r="H8" s="489"/>
    </row>
    <row r="9" spans="2:8" x14ac:dyDescent="0.25">
      <c r="B9" s="138" t="s">
        <v>1201</v>
      </c>
      <c r="C9" s="230">
        <f>SUM(C11:C18)</f>
        <v>19818332</v>
      </c>
      <c r="D9" s="322">
        <f>SUM(D11:D18)</f>
        <v>7791178</v>
      </c>
      <c r="E9" s="230">
        <f>+C9+D9</f>
        <v>27609510</v>
      </c>
      <c r="F9" s="230">
        <f>SUM(F11:F18)</f>
        <v>18110852</v>
      </c>
      <c r="G9" s="230">
        <f>SUM(G11:G19)</f>
        <v>18110852</v>
      </c>
      <c r="H9" s="322">
        <f>+E9-G9</f>
        <v>9498658</v>
      </c>
    </row>
    <row r="10" spans="2:8" x14ac:dyDescent="0.25">
      <c r="B10" s="138" t="s">
        <v>1202</v>
      </c>
      <c r="C10" s="225"/>
      <c r="D10" s="291"/>
      <c r="E10" s="225"/>
      <c r="F10" s="225"/>
      <c r="G10" s="225"/>
      <c r="H10" s="353"/>
    </row>
    <row r="11" spans="2:8" x14ac:dyDescent="0.25">
      <c r="B11" s="145" t="s">
        <v>697</v>
      </c>
      <c r="C11" s="224">
        <v>19818332</v>
      </c>
      <c r="D11" s="318">
        <v>7791178</v>
      </c>
      <c r="E11" s="225">
        <f t="shared" ref="E11" si="0">+C11+D11</f>
        <v>27609510</v>
      </c>
      <c r="F11" s="224">
        <v>18110852</v>
      </c>
      <c r="G11" s="224">
        <v>18110852</v>
      </c>
      <c r="H11" s="353">
        <f>+E11-F11</f>
        <v>9498658</v>
      </c>
    </row>
    <row r="12" spans="2:8" x14ac:dyDescent="0.25">
      <c r="B12" s="232" t="s">
        <v>1204</v>
      </c>
      <c r="C12" s="233">
        <v>0</v>
      </c>
      <c r="D12" s="233">
        <v>0</v>
      </c>
      <c r="E12" s="234">
        <f t="shared" ref="E12:E18" si="1">+C12+D12</f>
        <v>0</v>
      </c>
      <c r="F12" s="233">
        <v>0</v>
      </c>
      <c r="G12" s="233">
        <v>0</v>
      </c>
      <c r="H12" s="234">
        <f t="shared" ref="H12:H18" si="2">E12-F12-G12</f>
        <v>0</v>
      </c>
    </row>
    <row r="13" spans="2:8" x14ac:dyDescent="0.25">
      <c r="B13" s="232" t="s">
        <v>1205</v>
      </c>
      <c r="C13" s="233">
        <v>0</v>
      </c>
      <c r="D13" s="233">
        <v>0</v>
      </c>
      <c r="E13" s="234">
        <f t="shared" si="1"/>
        <v>0</v>
      </c>
      <c r="F13" s="233">
        <v>0</v>
      </c>
      <c r="G13" s="233">
        <v>0</v>
      </c>
      <c r="H13" s="234">
        <f t="shared" si="2"/>
        <v>0</v>
      </c>
    </row>
    <row r="14" spans="2:8" x14ac:dyDescent="0.25">
      <c r="B14" s="232" t="s">
        <v>1206</v>
      </c>
      <c r="C14" s="233">
        <v>0</v>
      </c>
      <c r="D14" s="233">
        <v>0</v>
      </c>
      <c r="E14" s="234">
        <f t="shared" si="1"/>
        <v>0</v>
      </c>
      <c r="F14" s="233">
        <v>0</v>
      </c>
      <c r="G14" s="233">
        <v>0</v>
      </c>
      <c r="H14" s="234">
        <f t="shared" si="2"/>
        <v>0</v>
      </c>
    </row>
    <row r="15" spans="2:8" x14ac:dyDescent="0.25">
      <c r="B15" s="232" t="s">
        <v>1207</v>
      </c>
      <c r="C15" s="233">
        <v>0</v>
      </c>
      <c r="D15" s="233">
        <v>0</v>
      </c>
      <c r="E15" s="234">
        <f t="shared" si="1"/>
        <v>0</v>
      </c>
      <c r="F15" s="233">
        <v>0</v>
      </c>
      <c r="G15" s="233">
        <v>0</v>
      </c>
      <c r="H15" s="234">
        <f t="shared" si="2"/>
        <v>0</v>
      </c>
    </row>
    <row r="16" spans="2:8" x14ac:dyDescent="0.25">
      <c r="B16" s="232" t="s">
        <v>1208</v>
      </c>
      <c r="C16" s="233">
        <v>0</v>
      </c>
      <c r="D16" s="233">
        <v>0</v>
      </c>
      <c r="E16" s="234">
        <f t="shared" si="1"/>
        <v>0</v>
      </c>
      <c r="F16" s="233">
        <v>0</v>
      </c>
      <c r="G16" s="233">
        <v>0</v>
      </c>
      <c r="H16" s="234">
        <f t="shared" si="2"/>
        <v>0</v>
      </c>
    </row>
    <row r="17" spans="2:8" x14ac:dyDescent="0.25">
      <c r="B17" s="232" t="s">
        <v>1209</v>
      </c>
      <c r="C17" s="233">
        <v>0</v>
      </c>
      <c r="D17" s="233">
        <v>0</v>
      </c>
      <c r="E17" s="234">
        <f t="shared" si="1"/>
        <v>0</v>
      </c>
      <c r="F17" s="233">
        <v>0</v>
      </c>
      <c r="G17" s="233">
        <v>0</v>
      </c>
      <c r="H17" s="234">
        <f t="shared" si="2"/>
        <v>0</v>
      </c>
    </row>
    <row r="18" spans="2:8" x14ac:dyDescent="0.25">
      <c r="B18" s="232" t="s">
        <v>1210</v>
      </c>
      <c r="C18" s="233">
        <v>0</v>
      </c>
      <c r="D18" s="233">
        <v>0</v>
      </c>
      <c r="E18" s="234">
        <f t="shared" si="1"/>
        <v>0</v>
      </c>
      <c r="F18" s="233">
        <v>0</v>
      </c>
      <c r="G18" s="233">
        <v>0</v>
      </c>
      <c r="H18" s="234">
        <f t="shared" si="2"/>
        <v>0</v>
      </c>
    </row>
    <row r="19" spans="2:8" x14ac:dyDescent="0.25">
      <c r="B19" s="145"/>
      <c r="C19" s="231"/>
      <c r="D19" s="231"/>
      <c r="E19" s="231"/>
      <c r="F19" s="231"/>
      <c r="G19" s="231"/>
      <c r="H19" s="231"/>
    </row>
    <row r="20" spans="2:8" x14ac:dyDescent="0.25">
      <c r="B20" s="146" t="s">
        <v>1211</v>
      </c>
      <c r="C20" s="288">
        <f>SUM(C22:C29)</f>
        <v>0</v>
      </c>
      <c r="D20" s="288">
        <f>SUM(D22:D29)</f>
        <v>0</v>
      </c>
      <c r="E20" s="288">
        <f>+C20+D20</f>
        <v>0</v>
      </c>
      <c r="F20" s="288">
        <f>SUM(F22:F29)</f>
        <v>0</v>
      </c>
      <c r="G20" s="288">
        <f>SUM(G22:G30)</f>
        <v>0</v>
      </c>
      <c r="H20" s="288">
        <f>E20-F20-G20</f>
        <v>0</v>
      </c>
    </row>
    <row r="21" spans="2:8" x14ac:dyDescent="0.25">
      <c r="B21" s="146" t="s">
        <v>1212</v>
      </c>
      <c r="C21" s="288">
        <f>SUM(C23:C30)</f>
        <v>0</v>
      </c>
      <c r="D21" s="288">
        <f>SUM(D23:D30)</f>
        <v>0</v>
      </c>
      <c r="E21" s="288">
        <f>+C21+D21</f>
        <v>0</v>
      </c>
      <c r="F21" s="288">
        <f>SUM(F23:F30)</f>
        <v>0</v>
      </c>
      <c r="G21" s="288">
        <v>0</v>
      </c>
      <c r="H21" s="288">
        <f>E21-F21-G21</f>
        <v>0</v>
      </c>
    </row>
    <row r="22" spans="2:8" x14ac:dyDescent="0.25">
      <c r="B22" s="232" t="s">
        <v>1203</v>
      </c>
      <c r="C22" s="233">
        <v>0</v>
      </c>
      <c r="D22" s="233">
        <v>0</v>
      </c>
      <c r="E22" s="234">
        <f t="shared" ref="E22:E29" si="3">+C22+D22</f>
        <v>0</v>
      </c>
      <c r="F22" s="233">
        <v>0</v>
      </c>
      <c r="G22" s="233">
        <v>0</v>
      </c>
      <c r="H22" s="234">
        <f t="shared" ref="H22:H29" si="4">E22-F22-G22</f>
        <v>0</v>
      </c>
    </row>
    <row r="23" spans="2:8" x14ac:dyDescent="0.25">
      <c r="B23" s="232" t="s">
        <v>1204</v>
      </c>
      <c r="C23" s="233">
        <v>0</v>
      </c>
      <c r="D23" s="233">
        <v>0</v>
      </c>
      <c r="E23" s="234">
        <f t="shared" si="3"/>
        <v>0</v>
      </c>
      <c r="F23" s="233">
        <v>0</v>
      </c>
      <c r="G23" s="233">
        <v>0</v>
      </c>
      <c r="H23" s="234">
        <f t="shared" si="4"/>
        <v>0</v>
      </c>
    </row>
    <row r="24" spans="2:8" x14ac:dyDescent="0.25">
      <c r="B24" s="232" t="s">
        <v>1205</v>
      </c>
      <c r="C24" s="233">
        <v>0</v>
      </c>
      <c r="D24" s="233">
        <v>0</v>
      </c>
      <c r="E24" s="234">
        <f t="shared" si="3"/>
        <v>0</v>
      </c>
      <c r="F24" s="233">
        <v>0</v>
      </c>
      <c r="G24" s="233">
        <v>0</v>
      </c>
      <c r="H24" s="234">
        <f t="shared" si="4"/>
        <v>0</v>
      </c>
    </row>
    <row r="25" spans="2:8" x14ac:dyDescent="0.25">
      <c r="B25" s="232" t="s">
        <v>1206</v>
      </c>
      <c r="C25" s="233">
        <v>0</v>
      </c>
      <c r="D25" s="233">
        <v>0</v>
      </c>
      <c r="E25" s="234">
        <f t="shared" si="3"/>
        <v>0</v>
      </c>
      <c r="F25" s="233">
        <v>0</v>
      </c>
      <c r="G25" s="233">
        <v>0</v>
      </c>
      <c r="H25" s="234">
        <f t="shared" si="4"/>
        <v>0</v>
      </c>
    </row>
    <row r="26" spans="2:8" x14ac:dyDescent="0.25">
      <c r="B26" s="232" t="s">
        <v>1207</v>
      </c>
      <c r="C26" s="233">
        <v>0</v>
      </c>
      <c r="D26" s="233">
        <v>0</v>
      </c>
      <c r="E26" s="234">
        <f t="shared" si="3"/>
        <v>0</v>
      </c>
      <c r="F26" s="233">
        <v>0</v>
      </c>
      <c r="G26" s="233">
        <v>0</v>
      </c>
      <c r="H26" s="234">
        <f t="shared" si="4"/>
        <v>0</v>
      </c>
    </row>
    <row r="27" spans="2:8" x14ac:dyDescent="0.25">
      <c r="B27" s="232" t="s">
        <v>1208</v>
      </c>
      <c r="C27" s="233">
        <v>0</v>
      </c>
      <c r="D27" s="233">
        <v>0</v>
      </c>
      <c r="E27" s="234">
        <f t="shared" si="3"/>
        <v>0</v>
      </c>
      <c r="F27" s="233">
        <v>0</v>
      </c>
      <c r="G27" s="233">
        <v>0</v>
      </c>
      <c r="H27" s="234">
        <f t="shared" si="4"/>
        <v>0</v>
      </c>
    </row>
    <row r="28" spans="2:8" x14ac:dyDescent="0.25">
      <c r="B28" s="232" t="s">
        <v>1209</v>
      </c>
      <c r="C28" s="233">
        <v>0</v>
      </c>
      <c r="D28" s="233">
        <v>0</v>
      </c>
      <c r="E28" s="234">
        <f t="shared" si="3"/>
        <v>0</v>
      </c>
      <c r="F28" s="233">
        <v>0</v>
      </c>
      <c r="G28" s="233">
        <v>0</v>
      </c>
      <c r="H28" s="234">
        <f t="shared" si="4"/>
        <v>0</v>
      </c>
    </row>
    <row r="29" spans="2:8" x14ac:dyDescent="0.25">
      <c r="B29" s="232" t="s">
        <v>1210</v>
      </c>
      <c r="C29" s="233">
        <v>0</v>
      </c>
      <c r="D29" s="233">
        <v>0</v>
      </c>
      <c r="E29" s="234">
        <f t="shared" si="3"/>
        <v>0</v>
      </c>
      <c r="F29" s="233">
        <v>0</v>
      </c>
      <c r="G29" s="233">
        <v>0</v>
      </c>
      <c r="H29" s="234">
        <f t="shared" si="4"/>
        <v>0</v>
      </c>
    </row>
    <row r="30" spans="2:8" x14ac:dyDescent="0.25">
      <c r="B30" s="136"/>
      <c r="C30" s="231"/>
      <c r="D30" s="231"/>
      <c r="E30" s="231"/>
      <c r="F30" s="231"/>
      <c r="G30" s="231"/>
      <c r="H30" s="231"/>
    </row>
    <row r="31" spans="2:8" x14ac:dyDescent="0.25">
      <c r="B31" s="138" t="s">
        <v>1194</v>
      </c>
      <c r="C31" s="296">
        <f t="shared" ref="C31:H31" si="5">C9+C20</f>
        <v>19818332</v>
      </c>
      <c r="D31" s="324">
        <f t="shared" si="5"/>
        <v>7791178</v>
      </c>
      <c r="E31" s="296">
        <f t="shared" si="5"/>
        <v>27609510</v>
      </c>
      <c r="F31" s="296">
        <f t="shared" si="5"/>
        <v>18110852</v>
      </c>
      <c r="G31" s="296">
        <f t="shared" si="5"/>
        <v>18110852</v>
      </c>
      <c r="H31" s="324">
        <f t="shared" si="5"/>
        <v>9498658</v>
      </c>
    </row>
    <row r="32" spans="2:8" ht="15.75" thickBot="1" x14ac:dyDescent="0.3">
      <c r="B32" s="137"/>
      <c r="C32" s="144"/>
      <c r="D32" s="144"/>
      <c r="E32" s="144"/>
      <c r="F32" s="144"/>
      <c r="G32" s="144"/>
      <c r="H32" s="144"/>
    </row>
    <row r="36" spans="2:8" x14ac:dyDescent="0.25">
      <c r="B36" s="576" t="s">
        <v>1292</v>
      </c>
      <c r="C36" s="576"/>
      <c r="D36" s="306"/>
      <c r="E36" s="576" t="s">
        <v>1294</v>
      </c>
      <c r="F36" s="576"/>
      <c r="G36" s="576"/>
      <c r="H36" s="306"/>
    </row>
    <row r="37" spans="2:8" x14ac:dyDescent="0.25">
      <c r="B37" s="576" t="s">
        <v>1293</v>
      </c>
      <c r="C37" s="576"/>
      <c r="D37" s="306"/>
      <c r="E37" s="576" t="s">
        <v>1295</v>
      </c>
      <c r="F37" s="576"/>
      <c r="G37" s="576"/>
      <c r="H37" s="306"/>
    </row>
  </sheetData>
  <mergeCells count="13">
    <mergeCell ref="B36:C36"/>
    <mergeCell ref="B37:C37"/>
    <mergeCell ref="E36:G36"/>
    <mergeCell ref="E37:G37"/>
    <mergeCell ref="B7:B8"/>
    <mergeCell ref="C7:G7"/>
    <mergeCell ref="H7:H8"/>
    <mergeCell ref="B1:H1"/>
    <mergeCell ref="B2:H2"/>
    <mergeCell ref="B3:H3"/>
    <mergeCell ref="B4:H4"/>
    <mergeCell ref="B5:H5"/>
    <mergeCell ref="B6:H6"/>
  </mergeCells>
  <printOptions horizontalCentered="1"/>
  <pageMargins left="0" right="0" top="0" bottom="0" header="0" footer="0"/>
  <pageSetup scale="80" orientation="portrait" r:id="rId1"/>
  <ignoredErrors>
    <ignoredError sqref="E20 E9" formula="1"/>
    <ignoredError sqref="C21:D21 F21:H21 G20" formulaRange="1"/>
    <ignoredError sqref="E21" formula="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0"/>
  <sheetViews>
    <sheetView zoomScaleNormal="100" workbookViewId="0">
      <selection activeCell="G27" sqref="G27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586" t="s">
        <v>1270</v>
      </c>
      <c r="C1" s="586"/>
      <c r="D1" s="586"/>
      <c r="E1" s="586"/>
      <c r="F1" s="586"/>
      <c r="G1" s="586"/>
      <c r="H1" s="586"/>
      <c r="I1" s="586"/>
    </row>
    <row r="2" spans="2:9" x14ac:dyDescent="0.25">
      <c r="B2" s="551" t="s">
        <v>697</v>
      </c>
      <c r="C2" s="552"/>
      <c r="D2" s="552"/>
      <c r="E2" s="552"/>
      <c r="F2" s="552"/>
      <c r="G2" s="552"/>
      <c r="H2" s="552"/>
      <c r="I2" s="593"/>
    </row>
    <row r="3" spans="2:9" x14ac:dyDescent="0.25">
      <c r="B3" s="554" t="s">
        <v>1195</v>
      </c>
      <c r="C3" s="555"/>
      <c r="D3" s="555"/>
      <c r="E3" s="555"/>
      <c r="F3" s="555"/>
      <c r="G3" s="555"/>
      <c r="H3" s="555"/>
      <c r="I3" s="594"/>
    </row>
    <row r="4" spans="2:9" x14ac:dyDescent="0.25">
      <c r="B4" s="554" t="s">
        <v>693</v>
      </c>
      <c r="C4" s="555"/>
      <c r="D4" s="555"/>
      <c r="E4" s="555"/>
      <c r="F4" s="555"/>
      <c r="G4" s="555"/>
      <c r="H4" s="555"/>
      <c r="I4" s="594"/>
    </row>
    <row r="5" spans="2:9" x14ac:dyDescent="0.25">
      <c r="B5" s="554" t="s">
        <v>1309</v>
      </c>
      <c r="C5" s="555"/>
      <c r="D5" s="555"/>
      <c r="E5" s="555"/>
      <c r="F5" s="555"/>
      <c r="G5" s="555"/>
      <c r="H5" s="555"/>
      <c r="I5" s="594"/>
    </row>
    <row r="6" spans="2:9" ht="15.75" thickBot="1" x14ac:dyDescent="0.3">
      <c r="B6" s="519" t="s">
        <v>949</v>
      </c>
      <c r="C6" s="520"/>
      <c r="D6" s="520"/>
      <c r="E6" s="520"/>
      <c r="F6" s="520"/>
      <c r="G6" s="520"/>
      <c r="H6" s="520"/>
      <c r="I6" s="595"/>
    </row>
    <row r="7" spans="2:9" ht="15.75" thickBot="1" x14ac:dyDescent="0.3">
      <c r="B7" s="551" t="s">
        <v>849</v>
      </c>
      <c r="C7" s="553"/>
      <c r="D7" s="596" t="s">
        <v>689</v>
      </c>
      <c r="E7" s="597"/>
      <c r="F7" s="597"/>
      <c r="G7" s="597"/>
      <c r="H7" s="598"/>
      <c r="I7" s="541" t="s">
        <v>1197</v>
      </c>
    </row>
    <row r="8" spans="2:9" ht="23.25" thickBot="1" x14ac:dyDescent="0.3">
      <c r="B8" s="519"/>
      <c r="C8" s="521"/>
      <c r="D8" s="187" t="s">
        <v>1050</v>
      </c>
      <c r="E8" s="187" t="s">
        <v>1198</v>
      </c>
      <c r="F8" s="187" t="s">
        <v>1199</v>
      </c>
      <c r="G8" s="187" t="s">
        <v>685</v>
      </c>
      <c r="H8" s="187" t="s">
        <v>692</v>
      </c>
      <c r="I8" s="542"/>
    </row>
    <row r="9" spans="2:9" x14ac:dyDescent="0.25">
      <c r="B9" s="493"/>
      <c r="C9" s="599"/>
      <c r="D9" s="143"/>
      <c r="E9" s="143"/>
      <c r="F9" s="143"/>
      <c r="G9" s="143"/>
      <c r="H9" s="143"/>
      <c r="I9" s="143"/>
    </row>
    <row r="10" spans="2:9" ht="16.5" customHeight="1" x14ac:dyDescent="0.25">
      <c r="B10" s="426" t="s">
        <v>1213</v>
      </c>
      <c r="C10" s="459"/>
      <c r="D10" s="270">
        <f t="shared" ref="D10:I10" si="0">D11+D21+D30+D41</f>
        <v>19818332</v>
      </c>
      <c r="E10" s="324">
        <f t="shared" si="0"/>
        <v>7791178</v>
      </c>
      <c r="F10" s="270">
        <f t="shared" si="0"/>
        <v>27609510</v>
      </c>
      <c r="G10" s="270">
        <f t="shared" si="0"/>
        <v>18110852</v>
      </c>
      <c r="H10" s="270">
        <f t="shared" si="0"/>
        <v>18110852</v>
      </c>
      <c r="I10" s="324">
        <f t="shared" si="0"/>
        <v>9498658</v>
      </c>
    </row>
    <row r="11" spans="2:9" x14ac:dyDescent="0.25">
      <c r="B11" s="569" t="s">
        <v>1214</v>
      </c>
      <c r="C11" s="549"/>
      <c r="D11" s="288">
        <v>0</v>
      </c>
      <c r="E11" s="288">
        <v>0</v>
      </c>
      <c r="F11" s="288">
        <f>+D11+E11</f>
        <v>0</v>
      </c>
      <c r="G11" s="288">
        <f>SUM(G12:G19)</f>
        <v>0</v>
      </c>
      <c r="H11" s="288">
        <f>SUM(H12:H19)</f>
        <v>0</v>
      </c>
      <c r="I11" s="288">
        <f>F11-G11-H11</f>
        <v>0</v>
      </c>
    </row>
    <row r="12" spans="2:9" x14ac:dyDescent="0.25">
      <c r="B12" s="185"/>
      <c r="C12" s="181" t="s">
        <v>1215</v>
      </c>
      <c r="D12" s="233"/>
      <c r="E12" s="233"/>
      <c r="F12" s="234">
        <f>+D12+E12</f>
        <v>0</v>
      </c>
      <c r="G12" s="233">
        <v>0</v>
      </c>
      <c r="H12" s="233">
        <v>0</v>
      </c>
      <c r="I12" s="234">
        <f>F12-G12-H12</f>
        <v>0</v>
      </c>
    </row>
    <row r="13" spans="2:9" x14ac:dyDescent="0.25">
      <c r="B13" s="185"/>
      <c r="C13" s="181" t="s">
        <v>1216</v>
      </c>
      <c r="D13" s="233">
        <v>0</v>
      </c>
      <c r="E13" s="233">
        <v>0</v>
      </c>
      <c r="F13" s="234">
        <f>+D13+E13</f>
        <v>0</v>
      </c>
      <c r="G13" s="233">
        <v>0</v>
      </c>
      <c r="H13" s="233">
        <v>0</v>
      </c>
      <c r="I13" s="234">
        <f t="shared" ref="I13:I19" si="1">F13-G13-H13</f>
        <v>0</v>
      </c>
    </row>
    <row r="14" spans="2:9" x14ac:dyDescent="0.25">
      <c r="B14" s="185"/>
      <c r="C14" s="181" t="s">
        <v>1217</v>
      </c>
      <c r="D14" s="233">
        <v>0</v>
      </c>
      <c r="E14" s="233">
        <v>0</v>
      </c>
      <c r="F14" s="234">
        <f t="shared" ref="F14:F19" si="2">+D14+E14</f>
        <v>0</v>
      </c>
      <c r="G14" s="233">
        <v>0</v>
      </c>
      <c r="H14" s="233">
        <v>0</v>
      </c>
      <c r="I14" s="234">
        <f t="shared" si="1"/>
        <v>0</v>
      </c>
    </row>
    <row r="15" spans="2:9" x14ac:dyDescent="0.25">
      <c r="B15" s="185"/>
      <c r="C15" s="181" t="s">
        <v>1218</v>
      </c>
      <c r="D15" s="233">
        <v>0</v>
      </c>
      <c r="E15" s="233">
        <v>0</v>
      </c>
      <c r="F15" s="234">
        <f t="shared" si="2"/>
        <v>0</v>
      </c>
      <c r="G15" s="233">
        <v>0</v>
      </c>
      <c r="H15" s="233">
        <v>0</v>
      </c>
      <c r="I15" s="234">
        <f t="shared" si="1"/>
        <v>0</v>
      </c>
    </row>
    <row r="16" spans="2:9" x14ac:dyDescent="0.25">
      <c r="B16" s="185"/>
      <c r="C16" s="181" t="s">
        <v>1219</v>
      </c>
      <c r="D16" s="233">
        <v>0</v>
      </c>
      <c r="E16" s="233">
        <v>0</v>
      </c>
      <c r="F16" s="234">
        <f t="shared" si="2"/>
        <v>0</v>
      </c>
      <c r="G16" s="233">
        <v>0</v>
      </c>
      <c r="H16" s="233">
        <v>0</v>
      </c>
      <c r="I16" s="234">
        <f t="shared" si="1"/>
        <v>0</v>
      </c>
    </row>
    <row r="17" spans="2:9" x14ac:dyDescent="0.25">
      <c r="B17" s="185"/>
      <c r="C17" s="181" t="s">
        <v>1220</v>
      </c>
      <c r="D17" s="233">
        <v>0</v>
      </c>
      <c r="E17" s="233">
        <v>0</v>
      </c>
      <c r="F17" s="234">
        <f t="shared" si="2"/>
        <v>0</v>
      </c>
      <c r="G17" s="233">
        <v>0</v>
      </c>
      <c r="H17" s="233">
        <v>0</v>
      </c>
      <c r="I17" s="234">
        <f t="shared" si="1"/>
        <v>0</v>
      </c>
    </row>
    <row r="18" spans="2:9" x14ac:dyDescent="0.25">
      <c r="B18" s="185"/>
      <c r="C18" s="181" t="s">
        <v>1221</v>
      </c>
      <c r="D18" s="233">
        <v>0</v>
      </c>
      <c r="E18" s="233">
        <v>0</v>
      </c>
      <c r="F18" s="234">
        <f t="shared" si="2"/>
        <v>0</v>
      </c>
      <c r="G18" s="233">
        <v>0</v>
      </c>
      <c r="H18" s="233">
        <v>0</v>
      </c>
      <c r="I18" s="234">
        <f t="shared" si="1"/>
        <v>0</v>
      </c>
    </row>
    <row r="19" spans="2:9" x14ac:dyDescent="0.25">
      <c r="B19" s="185"/>
      <c r="C19" s="181" t="s">
        <v>1222</v>
      </c>
      <c r="D19" s="233">
        <v>0</v>
      </c>
      <c r="E19" s="233">
        <v>0</v>
      </c>
      <c r="F19" s="234">
        <f t="shared" si="2"/>
        <v>0</v>
      </c>
      <c r="G19" s="233">
        <v>0</v>
      </c>
      <c r="H19" s="233">
        <v>0</v>
      </c>
      <c r="I19" s="234">
        <f t="shared" si="1"/>
        <v>0</v>
      </c>
    </row>
    <row r="20" spans="2:9" x14ac:dyDescent="0.25">
      <c r="B20" s="148"/>
      <c r="C20" s="149"/>
      <c r="D20" s="226"/>
      <c r="E20" s="226"/>
      <c r="F20" s="226"/>
      <c r="G20" s="226"/>
      <c r="H20" s="226"/>
      <c r="I20" s="226"/>
    </row>
    <row r="21" spans="2:9" x14ac:dyDescent="0.25">
      <c r="B21" s="569" t="s">
        <v>1223</v>
      </c>
      <c r="C21" s="549"/>
      <c r="D21" s="222">
        <f>SUM(D22:D28)</f>
        <v>19818332</v>
      </c>
      <c r="E21" s="317">
        <f>SUM(E22:E28)</f>
        <v>7791178</v>
      </c>
      <c r="F21" s="222">
        <f>+D21+E21</f>
        <v>27609510</v>
      </c>
      <c r="G21" s="222">
        <f>SUM(G22:G28)</f>
        <v>18110852</v>
      </c>
      <c r="H21" s="222">
        <f>SUM(H22:H28)</f>
        <v>18110852</v>
      </c>
      <c r="I21" s="317">
        <f>+F21-G21</f>
        <v>9498658</v>
      </c>
    </row>
    <row r="22" spans="2:9" x14ac:dyDescent="0.25">
      <c r="B22" s="185"/>
      <c r="C22" s="181" t="s">
        <v>1224</v>
      </c>
      <c r="D22" s="233"/>
      <c r="E22" s="233">
        <v>0</v>
      </c>
      <c r="F22" s="234">
        <f>+D22+E22</f>
        <v>0</v>
      </c>
      <c r="G22" s="233">
        <v>0</v>
      </c>
      <c r="H22" s="233">
        <v>0</v>
      </c>
      <c r="I22" s="234">
        <f>F22-G22-H22</f>
        <v>0</v>
      </c>
    </row>
    <row r="23" spans="2:9" x14ac:dyDescent="0.25">
      <c r="B23" s="185"/>
      <c r="C23" s="181" t="s">
        <v>1225</v>
      </c>
      <c r="D23" s="233">
        <v>0</v>
      </c>
      <c r="E23" s="233">
        <v>0</v>
      </c>
      <c r="F23" s="234">
        <f t="shared" ref="F23:F26" si="3">+D23+E23</f>
        <v>0</v>
      </c>
      <c r="G23" s="233">
        <v>0</v>
      </c>
      <c r="H23" s="233">
        <v>0</v>
      </c>
      <c r="I23" s="234">
        <f t="shared" ref="I23:I25" si="4">F23-G23-H23</f>
        <v>0</v>
      </c>
    </row>
    <row r="24" spans="2:9" x14ac:dyDescent="0.25">
      <c r="B24" s="185"/>
      <c r="C24" s="181" t="s">
        <v>1226</v>
      </c>
      <c r="D24" s="233">
        <v>0</v>
      </c>
      <c r="E24" s="233">
        <v>0</v>
      </c>
      <c r="F24" s="234">
        <f t="shared" si="3"/>
        <v>0</v>
      </c>
      <c r="G24" s="233">
        <v>0</v>
      </c>
      <c r="H24" s="233">
        <v>0</v>
      </c>
      <c r="I24" s="234">
        <f t="shared" si="4"/>
        <v>0</v>
      </c>
    </row>
    <row r="25" spans="2:9" x14ac:dyDescent="0.25">
      <c r="B25" s="185"/>
      <c r="C25" s="181" t="s">
        <v>1227</v>
      </c>
      <c r="D25" s="233">
        <v>0</v>
      </c>
      <c r="E25" s="233">
        <v>0</v>
      </c>
      <c r="F25" s="234">
        <f t="shared" si="3"/>
        <v>0</v>
      </c>
      <c r="G25" s="233">
        <v>0</v>
      </c>
      <c r="H25" s="233">
        <v>0</v>
      </c>
      <c r="I25" s="234">
        <f t="shared" si="4"/>
        <v>0</v>
      </c>
    </row>
    <row r="26" spans="2:9" x14ac:dyDescent="0.25">
      <c r="B26" s="185"/>
      <c r="C26" s="181" t="s">
        <v>1228</v>
      </c>
      <c r="D26" s="224">
        <v>19818332</v>
      </c>
      <c r="E26" s="318">
        <v>7791178</v>
      </c>
      <c r="F26" s="225">
        <f t="shared" si="3"/>
        <v>27609510</v>
      </c>
      <c r="G26" s="224">
        <v>18110852</v>
      </c>
      <c r="H26" s="224">
        <v>18110852</v>
      </c>
      <c r="I26" s="353">
        <f>+F26-G26</f>
        <v>9498658</v>
      </c>
    </row>
    <row r="27" spans="2:9" x14ac:dyDescent="0.25">
      <c r="B27" s="185"/>
      <c r="C27" s="181" t="s">
        <v>1229</v>
      </c>
      <c r="D27" s="233">
        <v>0</v>
      </c>
      <c r="E27" s="233">
        <v>0</v>
      </c>
      <c r="F27" s="234">
        <f t="shared" ref="F27:F28" si="5">+D27+E27</f>
        <v>0</v>
      </c>
      <c r="G27" s="233">
        <v>0</v>
      </c>
      <c r="H27" s="233">
        <v>0</v>
      </c>
      <c r="I27" s="234">
        <f t="shared" ref="I27:I28" si="6">F27-G27-H27</f>
        <v>0</v>
      </c>
    </row>
    <row r="28" spans="2:9" x14ac:dyDescent="0.25">
      <c r="B28" s="185"/>
      <c r="C28" s="181" t="s">
        <v>1230</v>
      </c>
      <c r="D28" s="233">
        <v>0</v>
      </c>
      <c r="E28" s="233">
        <v>0</v>
      </c>
      <c r="F28" s="234">
        <f t="shared" si="5"/>
        <v>0</v>
      </c>
      <c r="G28" s="233">
        <v>0</v>
      </c>
      <c r="H28" s="233">
        <v>0</v>
      </c>
      <c r="I28" s="234">
        <f t="shared" si="6"/>
        <v>0</v>
      </c>
    </row>
    <row r="29" spans="2:9" x14ac:dyDescent="0.25">
      <c r="B29" s="148"/>
      <c r="C29" s="149"/>
      <c r="D29" s="226"/>
      <c r="E29" s="226"/>
      <c r="F29" s="226"/>
      <c r="G29" s="226"/>
      <c r="H29" s="226"/>
      <c r="I29" s="226"/>
    </row>
    <row r="30" spans="2:9" x14ac:dyDescent="0.25">
      <c r="B30" s="569" t="s">
        <v>1231</v>
      </c>
      <c r="C30" s="549"/>
      <c r="D30" s="288">
        <f>SUM(D31:D39)</f>
        <v>0</v>
      </c>
      <c r="E30" s="288">
        <f>SUM(E31:E39)</f>
        <v>0</v>
      </c>
      <c r="F30" s="288">
        <f>+D30+E30</f>
        <v>0</v>
      </c>
      <c r="G30" s="288">
        <f>SUM(G31:G39)</f>
        <v>0</v>
      </c>
      <c r="H30" s="288">
        <f>SUM(H31:H39)</f>
        <v>0</v>
      </c>
      <c r="I30" s="288">
        <f>F30-G30-H30</f>
        <v>0</v>
      </c>
    </row>
    <row r="31" spans="2:9" x14ac:dyDescent="0.25">
      <c r="B31" s="185"/>
      <c r="C31" s="181" t="s">
        <v>1232</v>
      </c>
      <c r="D31" s="233"/>
      <c r="E31" s="233">
        <v>0</v>
      </c>
      <c r="F31" s="234">
        <f>+D31+E31</f>
        <v>0</v>
      </c>
      <c r="G31" s="233">
        <v>0</v>
      </c>
      <c r="H31" s="233">
        <v>0</v>
      </c>
      <c r="I31" s="234">
        <f>F31-G31-H31</f>
        <v>0</v>
      </c>
    </row>
    <row r="32" spans="2:9" x14ac:dyDescent="0.25">
      <c r="B32" s="185"/>
      <c r="C32" s="181" t="s">
        <v>1233</v>
      </c>
      <c r="D32" s="233">
        <v>0</v>
      </c>
      <c r="E32" s="233">
        <v>0</v>
      </c>
      <c r="F32" s="234">
        <f t="shared" ref="F32:F39" si="7">+D32+E32</f>
        <v>0</v>
      </c>
      <c r="G32" s="233">
        <v>0</v>
      </c>
      <c r="H32" s="233">
        <v>0</v>
      </c>
      <c r="I32" s="234">
        <f t="shared" ref="I32:I37" si="8">F32-G32-H32</f>
        <v>0</v>
      </c>
    </row>
    <row r="33" spans="2:9" x14ac:dyDescent="0.25">
      <c r="B33" s="185"/>
      <c r="C33" s="181" t="s">
        <v>1234</v>
      </c>
      <c r="D33" s="233">
        <v>0</v>
      </c>
      <c r="E33" s="233">
        <v>0</v>
      </c>
      <c r="F33" s="234">
        <f t="shared" si="7"/>
        <v>0</v>
      </c>
      <c r="G33" s="233">
        <v>0</v>
      </c>
      <c r="H33" s="233">
        <v>0</v>
      </c>
      <c r="I33" s="234">
        <f t="shared" si="8"/>
        <v>0</v>
      </c>
    </row>
    <row r="34" spans="2:9" x14ac:dyDescent="0.25">
      <c r="B34" s="185"/>
      <c r="C34" s="181" t="s">
        <v>1235</v>
      </c>
      <c r="D34" s="233">
        <v>0</v>
      </c>
      <c r="E34" s="233">
        <v>0</v>
      </c>
      <c r="F34" s="234">
        <f t="shared" si="7"/>
        <v>0</v>
      </c>
      <c r="G34" s="233">
        <v>0</v>
      </c>
      <c r="H34" s="233">
        <v>0</v>
      </c>
      <c r="I34" s="234">
        <f t="shared" si="8"/>
        <v>0</v>
      </c>
    </row>
    <row r="35" spans="2:9" x14ac:dyDescent="0.25">
      <c r="B35" s="185"/>
      <c r="C35" s="181" t="s">
        <v>1236</v>
      </c>
      <c r="D35" s="233">
        <v>0</v>
      </c>
      <c r="E35" s="233">
        <v>0</v>
      </c>
      <c r="F35" s="234">
        <f t="shared" si="7"/>
        <v>0</v>
      </c>
      <c r="G35" s="233">
        <v>0</v>
      </c>
      <c r="H35" s="233">
        <v>0</v>
      </c>
      <c r="I35" s="234">
        <f t="shared" si="8"/>
        <v>0</v>
      </c>
    </row>
    <row r="36" spans="2:9" x14ac:dyDescent="0.25">
      <c r="B36" s="185"/>
      <c r="C36" s="181" t="s">
        <v>1237</v>
      </c>
      <c r="D36" s="233">
        <v>0</v>
      </c>
      <c r="E36" s="233">
        <v>0</v>
      </c>
      <c r="F36" s="234">
        <f t="shared" si="7"/>
        <v>0</v>
      </c>
      <c r="G36" s="233">
        <v>0</v>
      </c>
      <c r="H36" s="233">
        <v>0</v>
      </c>
      <c r="I36" s="234">
        <f t="shared" si="8"/>
        <v>0</v>
      </c>
    </row>
    <row r="37" spans="2:9" x14ac:dyDescent="0.25">
      <c r="B37" s="185"/>
      <c r="C37" s="181" t="s">
        <v>1238</v>
      </c>
      <c r="D37" s="233">
        <v>0</v>
      </c>
      <c r="E37" s="233">
        <v>0</v>
      </c>
      <c r="F37" s="234">
        <f t="shared" si="7"/>
        <v>0</v>
      </c>
      <c r="G37" s="233">
        <v>0</v>
      </c>
      <c r="H37" s="233">
        <v>0</v>
      </c>
      <c r="I37" s="234">
        <f t="shared" si="8"/>
        <v>0</v>
      </c>
    </row>
    <row r="38" spans="2:9" x14ac:dyDescent="0.25">
      <c r="B38" s="185"/>
      <c r="C38" s="181" t="s">
        <v>1239</v>
      </c>
      <c r="D38" s="233">
        <v>0</v>
      </c>
      <c r="E38" s="233">
        <v>0</v>
      </c>
      <c r="F38" s="234">
        <f t="shared" si="7"/>
        <v>0</v>
      </c>
      <c r="G38" s="233">
        <v>0</v>
      </c>
      <c r="H38" s="233">
        <v>0</v>
      </c>
      <c r="I38" s="234">
        <f>F38-G38-H38</f>
        <v>0</v>
      </c>
    </row>
    <row r="39" spans="2:9" x14ac:dyDescent="0.25">
      <c r="B39" s="185"/>
      <c r="C39" s="181" t="s">
        <v>1240</v>
      </c>
      <c r="D39" s="233">
        <v>0</v>
      </c>
      <c r="E39" s="233">
        <v>0</v>
      </c>
      <c r="F39" s="234">
        <f t="shared" si="7"/>
        <v>0</v>
      </c>
      <c r="G39" s="233">
        <v>0</v>
      </c>
      <c r="H39" s="233">
        <v>0</v>
      </c>
      <c r="I39" s="234">
        <f>F39-G39-H39</f>
        <v>0</v>
      </c>
    </row>
    <row r="40" spans="2:9" x14ac:dyDescent="0.25">
      <c r="B40" s="148"/>
      <c r="C40" s="149"/>
      <c r="D40" s="311"/>
      <c r="E40" s="311"/>
      <c r="F40" s="311"/>
      <c r="G40" s="311"/>
      <c r="H40" s="311"/>
      <c r="I40" s="311"/>
    </row>
    <row r="41" spans="2:9" x14ac:dyDescent="0.25">
      <c r="B41" s="569" t="s">
        <v>1241</v>
      </c>
      <c r="C41" s="549"/>
      <c r="D41" s="288">
        <f>SUM(D42:D45)</f>
        <v>0</v>
      </c>
      <c r="E41" s="288">
        <f>SUM(E42:E45)</f>
        <v>0</v>
      </c>
      <c r="F41" s="288">
        <f>+D41+E41</f>
        <v>0</v>
      </c>
      <c r="G41" s="288">
        <f>SUM(G42:G45)</f>
        <v>0</v>
      </c>
      <c r="H41" s="288">
        <f>SUM(H42:H45)</f>
        <v>0</v>
      </c>
      <c r="I41" s="288">
        <f>F41-G41-H41</f>
        <v>0</v>
      </c>
    </row>
    <row r="42" spans="2:9" x14ac:dyDescent="0.25">
      <c r="B42" s="185"/>
      <c r="C42" s="181" t="s">
        <v>1242</v>
      </c>
      <c r="D42" s="233"/>
      <c r="E42" s="233">
        <v>0</v>
      </c>
      <c r="F42" s="234">
        <f>+D42+E42</f>
        <v>0</v>
      </c>
      <c r="G42" s="233">
        <v>0</v>
      </c>
      <c r="H42" s="233">
        <v>0</v>
      </c>
      <c r="I42" s="234">
        <f>F42-G42-H42</f>
        <v>0</v>
      </c>
    </row>
    <row r="43" spans="2:9" x14ac:dyDescent="0.25">
      <c r="B43" s="185"/>
      <c r="C43" s="181" t="s">
        <v>1243</v>
      </c>
      <c r="D43" s="233">
        <v>0</v>
      </c>
      <c r="E43" s="233">
        <v>0</v>
      </c>
      <c r="F43" s="234">
        <f>+D43+E43</f>
        <v>0</v>
      </c>
      <c r="G43" s="233">
        <v>0</v>
      </c>
      <c r="H43" s="233">
        <v>0</v>
      </c>
      <c r="I43" s="234">
        <f>F43-G43-H43</f>
        <v>0</v>
      </c>
    </row>
    <row r="44" spans="2:9" x14ac:dyDescent="0.25">
      <c r="B44" s="185"/>
      <c r="C44" s="181" t="s">
        <v>1244</v>
      </c>
      <c r="D44" s="233">
        <v>0</v>
      </c>
      <c r="E44" s="233">
        <v>0</v>
      </c>
      <c r="F44" s="234">
        <f>+D44+E44</f>
        <v>0</v>
      </c>
      <c r="G44" s="233">
        <v>0</v>
      </c>
      <c r="H44" s="233">
        <v>0</v>
      </c>
      <c r="I44" s="234">
        <f>F44-G44-H44</f>
        <v>0</v>
      </c>
    </row>
    <row r="45" spans="2:9" x14ac:dyDescent="0.25">
      <c r="B45" s="185"/>
      <c r="C45" s="181" t="s">
        <v>1245</v>
      </c>
      <c r="D45" s="233">
        <v>0</v>
      </c>
      <c r="E45" s="233">
        <v>0</v>
      </c>
      <c r="F45" s="234">
        <f>+D45+E45</f>
        <v>0</v>
      </c>
      <c r="G45" s="233">
        <v>0</v>
      </c>
      <c r="H45" s="233">
        <v>0</v>
      </c>
      <c r="I45" s="234">
        <f>F45-G45-H45</f>
        <v>0</v>
      </c>
    </row>
    <row r="46" spans="2:9" x14ac:dyDescent="0.25">
      <c r="B46" s="148"/>
      <c r="C46" s="149"/>
      <c r="D46" s="311"/>
      <c r="E46" s="311"/>
      <c r="F46" s="311"/>
      <c r="G46" s="311"/>
      <c r="H46" s="311"/>
      <c r="I46" s="311"/>
    </row>
    <row r="47" spans="2:9" x14ac:dyDescent="0.25">
      <c r="B47" s="569" t="s">
        <v>1246</v>
      </c>
      <c r="C47" s="549"/>
      <c r="D47" s="310">
        <f t="shared" ref="D47:I47" si="9">D48+D58+D67+D78</f>
        <v>0</v>
      </c>
      <c r="E47" s="310">
        <f t="shared" si="9"/>
        <v>0</v>
      </c>
      <c r="F47" s="310">
        <f t="shared" si="9"/>
        <v>0</v>
      </c>
      <c r="G47" s="310">
        <f t="shared" si="9"/>
        <v>0</v>
      </c>
      <c r="H47" s="310">
        <f t="shared" si="9"/>
        <v>0</v>
      </c>
      <c r="I47" s="310">
        <f t="shared" si="9"/>
        <v>0</v>
      </c>
    </row>
    <row r="48" spans="2:9" x14ac:dyDescent="0.25">
      <c r="B48" s="569" t="s">
        <v>1214</v>
      </c>
      <c r="C48" s="549"/>
      <c r="D48" s="288">
        <v>0</v>
      </c>
      <c r="E48" s="288">
        <f>SUM(E49:E56)</f>
        <v>0</v>
      </c>
      <c r="F48" s="288">
        <f>+D48+E48</f>
        <v>0</v>
      </c>
      <c r="G48" s="288">
        <f>SUM(G49:G56)</f>
        <v>0</v>
      </c>
      <c r="H48" s="288">
        <f>SUM(H49:H56)</f>
        <v>0</v>
      </c>
      <c r="I48" s="288">
        <f>F48-G48-H48</f>
        <v>0</v>
      </c>
    </row>
    <row r="49" spans="2:9" x14ac:dyDescent="0.25">
      <c r="B49" s="185"/>
      <c r="C49" s="181" t="s">
        <v>1215</v>
      </c>
      <c r="D49" s="233"/>
      <c r="E49" s="233">
        <v>0</v>
      </c>
      <c r="F49" s="234">
        <f>+D49+E49</f>
        <v>0</v>
      </c>
      <c r="G49" s="233">
        <v>0</v>
      </c>
      <c r="H49" s="233">
        <v>0</v>
      </c>
      <c r="I49" s="234">
        <f>F49-G49-H49</f>
        <v>0</v>
      </c>
    </row>
    <row r="50" spans="2:9" x14ac:dyDescent="0.25">
      <c r="B50" s="185"/>
      <c r="C50" s="181" t="s">
        <v>1216</v>
      </c>
      <c r="D50" s="233">
        <v>0</v>
      </c>
      <c r="E50" s="233">
        <v>0</v>
      </c>
      <c r="F50" s="234">
        <f t="shared" ref="F50:F56" si="10">+D50+E50</f>
        <v>0</v>
      </c>
      <c r="G50" s="233">
        <v>0</v>
      </c>
      <c r="H50" s="233">
        <v>0</v>
      </c>
      <c r="I50" s="234">
        <f t="shared" ref="I50:I55" si="11">F50-G50-H50</f>
        <v>0</v>
      </c>
    </row>
    <row r="51" spans="2:9" x14ac:dyDescent="0.25">
      <c r="B51" s="185"/>
      <c r="C51" s="181" t="s">
        <v>1217</v>
      </c>
      <c r="D51" s="233">
        <v>0</v>
      </c>
      <c r="E51" s="233">
        <v>0</v>
      </c>
      <c r="F51" s="234">
        <f t="shared" si="10"/>
        <v>0</v>
      </c>
      <c r="G51" s="233">
        <v>0</v>
      </c>
      <c r="H51" s="233">
        <v>0</v>
      </c>
      <c r="I51" s="234">
        <f t="shared" si="11"/>
        <v>0</v>
      </c>
    </row>
    <row r="52" spans="2:9" x14ac:dyDescent="0.25">
      <c r="B52" s="185"/>
      <c r="C52" s="181" t="s">
        <v>1218</v>
      </c>
      <c r="D52" s="233">
        <v>0</v>
      </c>
      <c r="E52" s="233">
        <v>0</v>
      </c>
      <c r="F52" s="234">
        <f t="shared" si="10"/>
        <v>0</v>
      </c>
      <c r="G52" s="233">
        <v>0</v>
      </c>
      <c r="H52" s="233">
        <v>0</v>
      </c>
      <c r="I52" s="234">
        <f t="shared" si="11"/>
        <v>0</v>
      </c>
    </row>
    <row r="53" spans="2:9" x14ac:dyDescent="0.25">
      <c r="B53" s="185"/>
      <c r="C53" s="181" t="s">
        <v>1219</v>
      </c>
      <c r="D53" s="233">
        <v>0</v>
      </c>
      <c r="E53" s="233">
        <v>0</v>
      </c>
      <c r="F53" s="234">
        <f t="shared" si="10"/>
        <v>0</v>
      </c>
      <c r="G53" s="233">
        <v>0</v>
      </c>
      <c r="H53" s="233">
        <v>0</v>
      </c>
      <c r="I53" s="234">
        <f t="shared" si="11"/>
        <v>0</v>
      </c>
    </row>
    <row r="54" spans="2:9" x14ac:dyDescent="0.25">
      <c r="B54" s="185"/>
      <c r="C54" s="181" t="s">
        <v>1220</v>
      </c>
      <c r="D54" s="233">
        <v>0</v>
      </c>
      <c r="E54" s="233">
        <v>0</v>
      </c>
      <c r="F54" s="234">
        <f t="shared" si="10"/>
        <v>0</v>
      </c>
      <c r="G54" s="233">
        <v>0</v>
      </c>
      <c r="H54" s="233">
        <v>0</v>
      </c>
      <c r="I54" s="234">
        <f t="shared" si="11"/>
        <v>0</v>
      </c>
    </row>
    <row r="55" spans="2:9" x14ac:dyDescent="0.25">
      <c r="B55" s="185"/>
      <c r="C55" s="181" t="s">
        <v>1221</v>
      </c>
      <c r="D55" s="233">
        <v>0</v>
      </c>
      <c r="E55" s="233">
        <v>0</v>
      </c>
      <c r="F55" s="234">
        <f t="shared" si="10"/>
        <v>0</v>
      </c>
      <c r="G55" s="233">
        <v>0</v>
      </c>
      <c r="H55" s="233">
        <v>0</v>
      </c>
      <c r="I55" s="234">
        <f t="shared" si="11"/>
        <v>0</v>
      </c>
    </row>
    <row r="56" spans="2:9" x14ac:dyDescent="0.25">
      <c r="B56" s="185"/>
      <c r="C56" s="181" t="s">
        <v>1222</v>
      </c>
      <c r="D56" s="233">
        <v>0</v>
      </c>
      <c r="E56" s="233">
        <v>0</v>
      </c>
      <c r="F56" s="234">
        <f t="shared" si="10"/>
        <v>0</v>
      </c>
      <c r="G56" s="233">
        <v>0</v>
      </c>
      <c r="H56" s="233">
        <v>0</v>
      </c>
      <c r="I56" s="234">
        <f>F56-G56-H56</f>
        <v>0</v>
      </c>
    </row>
    <row r="57" spans="2:9" x14ac:dyDescent="0.25">
      <c r="B57" s="148"/>
      <c r="C57" s="149"/>
      <c r="D57" s="311"/>
      <c r="E57" s="311"/>
      <c r="F57" s="311"/>
      <c r="G57" s="311"/>
      <c r="H57" s="311"/>
      <c r="I57" s="311"/>
    </row>
    <row r="58" spans="2:9" x14ac:dyDescent="0.25">
      <c r="B58" s="569" t="s">
        <v>1223</v>
      </c>
      <c r="C58" s="549"/>
      <c r="D58" s="288">
        <f>SUM(D59:D65)</f>
        <v>0</v>
      </c>
      <c r="E58" s="288">
        <f>SUM(E59:E65)</f>
        <v>0</v>
      </c>
      <c r="F58" s="288">
        <f>+D58+E58</f>
        <v>0</v>
      </c>
      <c r="G58" s="288">
        <f>SUM(G59:G65)</f>
        <v>0</v>
      </c>
      <c r="H58" s="288">
        <f>SUM(H59:H65)</f>
        <v>0</v>
      </c>
      <c r="I58" s="288">
        <f>F58-G58-H58</f>
        <v>0</v>
      </c>
    </row>
    <row r="59" spans="2:9" x14ac:dyDescent="0.25">
      <c r="B59" s="185"/>
      <c r="C59" s="181" t="s">
        <v>1224</v>
      </c>
      <c r="D59" s="233">
        <v>0</v>
      </c>
      <c r="E59" s="233">
        <v>0</v>
      </c>
      <c r="F59" s="234">
        <f>+D59+E59</f>
        <v>0</v>
      </c>
      <c r="G59" s="233">
        <v>0</v>
      </c>
      <c r="H59" s="233">
        <v>0</v>
      </c>
      <c r="I59" s="234">
        <f>F59-G59-H59</f>
        <v>0</v>
      </c>
    </row>
    <row r="60" spans="2:9" x14ac:dyDescent="0.25">
      <c r="B60" s="185"/>
      <c r="C60" s="181" t="s">
        <v>1225</v>
      </c>
      <c r="D60" s="233">
        <v>0</v>
      </c>
      <c r="E60" s="233">
        <v>0</v>
      </c>
      <c r="F60" s="234">
        <f t="shared" ref="F60:F65" si="12">+D60+E60</f>
        <v>0</v>
      </c>
      <c r="G60" s="233">
        <v>0</v>
      </c>
      <c r="H60" s="233">
        <v>0</v>
      </c>
      <c r="I60" s="234">
        <f t="shared" ref="I60:I65" si="13">F60-G60-H60</f>
        <v>0</v>
      </c>
    </row>
    <row r="61" spans="2:9" x14ac:dyDescent="0.25">
      <c r="B61" s="185"/>
      <c r="C61" s="181" t="s">
        <v>1226</v>
      </c>
      <c r="D61" s="233">
        <v>0</v>
      </c>
      <c r="E61" s="233">
        <v>0</v>
      </c>
      <c r="F61" s="234">
        <f t="shared" si="12"/>
        <v>0</v>
      </c>
      <c r="G61" s="233">
        <v>0</v>
      </c>
      <c r="H61" s="233">
        <v>0</v>
      </c>
      <c r="I61" s="234">
        <f t="shared" si="13"/>
        <v>0</v>
      </c>
    </row>
    <row r="62" spans="2:9" x14ac:dyDescent="0.25">
      <c r="B62" s="185"/>
      <c r="C62" s="181" t="s">
        <v>1227</v>
      </c>
      <c r="D62" s="233">
        <v>0</v>
      </c>
      <c r="E62" s="233">
        <v>0</v>
      </c>
      <c r="F62" s="234">
        <f t="shared" si="12"/>
        <v>0</v>
      </c>
      <c r="G62" s="233">
        <v>0</v>
      </c>
      <c r="H62" s="233">
        <v>0</v>
      </c>
      <c r="I62" s="234">
        <f t="shared" si="13"/>
        <v>0</v>
      </c>
    </row>
    <row r="63" spans="2:9" x14ac:dyDescent="0.25">
      <c r="B63" s="185"/>
      <c r="C63" s="181" t="s">
        <v>1228</v>
      </c>
      <c r="D63" s="233">
        <v>0</v>
      </c>
      <c r="E63" s="233">
        <v>0</v>
      </c>
      <c r="F63" s="234">
        <f t="shared" si="12"/>
        <v>0</v>
      </c>
      <c r="G63" s="233">
        <v>0</v>
      </c>
      <c r="H63" s="233">
        <v>0</v>
      </c>
      <c r="I63" s="234">
        <f t="shared" si="13"/>
        <v>0</v>
      </c>
    </row>
    <row r="64" spans="2:9" x14ac:dyDescent="0.25">
      <c r="B64" s="185"/>
      <c r="C64" s="181" t="s">
        <v>1229</v>
      </c>
      <c r="D64" s="233">
        <v>0</v>
      </c>
      <c r="E64" s="233">
        <v>0</v>
      </c>
      <c r="F64" s="234">
        <f t="shared" si="12"/>
        <v>0</v>
      </c>
      <c r="G64" s="233">
        <v>0</v>
      </c>
      <c r="H64" s="233">
        <v>0</v>
      </c>
      <c r="I64" s="234">
        <f t="shared" si="13"/>
        <v>0</v>
      </c>
    </row>
    <row r="65" spans="2:9" x14ac:dyDescent="0.25">
      <c r="B65" s="185"/>
      <c r="C65" s="181" t="s">
        <v>1230</v>
      </c>
      <c r="D65" s="233">
        <v>0</v>
      </c>
      <c r="E65" s="233">
        <v>0</v>
      </c>
      <c r="F65" s="234">
        <f t="shared" si="12"/>
        <v>0</v>
      </c>
      <c r="G65" s="233">
        <v>0</v>
      </c>
      <c r="H65" s="233">
        <v>0</v>
      </c>
      <c r="I65" s="234">
        <f t="shared" si="13"/>
        <v>0</v>
      </c>
    </row>
    <row r="66" spans="2:9" x14ac:dyDescent="0.25">
      <c r="B66" s="148"/>
      <c r="C66" s="149"/>
      <c r="D66" s="226"/>
      <c r="E66" s="226"/>
      <c r="F66" s="226"/>
      <c r="G66" s="226"/>
      <c r="H66" s="226"/>
      <c r="I66" s="226"/>
    </row>
    <row r="67" spans="2:9" x14ac:dyDescent="0.25">
      <c r="B67" s="569" t="s">
        <v>1231</v>
      </c>
      <c r="C67" s="549"/>
      <c r="D67" s="288">
        <f>SUM(D68:D76)</f>
        <v>0</v>
      </c>
      <c r="E67" s="288">
        <f>SUM(E68:E76)</f>
        <v>0</v>
      </c>
      <c r="F67" s="288">
        <f>+D67+E67</f>
        <v>0</v>
      </c>
      <c r="G67" s="288">
        <f>SUM(G68:G76)</f>
        <v>0</v>
      </c>
      <c r="H67" s="288">
        <f>SUM(H68:H76)</f>
        <v>0</v>
      </c>
      <c r="I67" s="288">
        <f>F67-G67-H67</f>
        <v>0</v>
      </c>
    </row>
    <row r="68" spans="2:9" x14ac:dyDescent="0.25">
      <c r="B68" s="185"/>
      <c r="C68" s="181" t="s">
        <v>1232</v>
      </c>
      <c r="D68" s="308">
        <v>0</v>
      </c>
      <c r="E68" s="308">
        <v>0</v>
      </c>
      <c r="F68" s="309">
        <f>+D68+E68</f>
        <v>0</v>
      </c>
      <c r="G68" s="308">
        <v>0</v>
      </c>
      <c r="H68" s="308">
        <v>0</v>
      </c>
      <c r="I68" s="309">
        <f>F68-G68-H68</f>
        <v>0</v>
      </c>
    </row>
    <row r="69" spans="2:9" x14ac:dyDescent="0.25">
      <c r="B69" s="185"/>
      <c r="C69" s="181" t="s">
        <v>1233</v>
      </c>
      <c r="D69" s="308">
        <v>0</v>
      </c>
      <c r="E69" s="308">
        <v>0</v>
      </c>
      <c r="F69" s="309">
        <f t="shared" ref="F69:F76" si="14">+D69+E69</f>
        <v>0</v>
      </c>
      <c r="G69" s="308">
        <v>0</v>
      </c>
      <c r="H69" s="308">
        <v>0</v>
      </c>
      <c r="I69" s="309">
        <f t="shared" ref="I69:I74" si="15">F69-G69-H69</f>
        <v>0</v>
      </c>
    </row>
    <row r="70" spans="2:9" x14ac:dyDescent="0.25">
      <c r="B70" s="185"/>
      <c r="C70" s="181" t="s">
        <v>1234</v>
      </c>
      <c r="D70" s="308">
        <v>0</v>
      </c>
      <c r="E70" s="308">
        <v>0</v>
      </c>
      <c r="F70" s="309">
        <f t="shared" si="14"/>
        <v>0</v>
      </c>
      <c r="G70" s="308">
        <v>0</v>
      </c>
      <c r="H70" s="308">
        <v>0</v>
      </c>
      <c r="I70" s="309">
        <f t="shared" si="15"/>
        <v>0</v>
      </c>
    </row>
    <row r="71" spans="2:9" x14ac:dyDescent="0.25">
      <c r="B71" s="185"/>
      <c r="C71" s="181" t="s">
        <v>1235</v>
      </c>
      <c r="D71" s="308">
        <v>0</v>
      </c>
      <c r="E71" s="308">
        <v>0</v>
      </c>
      <c r="F71" s="309">
        <f t="shared" si="14"/>
        <v>0</v>
      </c>
      <c r="G71" s="308">
        <v>0</v>
      </c>
      <c r="H71" s="308">
        <v>0</v>
      </c>
      <c r="I71" s="309">
        <f t="shared" si="15"/>
        <v>0</v>
      </c>
    </row>
    <row r="72" spans="2:9" x14ac:dyDescent="0.25">
      <c r="B72" s="185"/>
      <c r="C72" s="181" t="s">
        <v>1236</v>
      </c>
      <c r="D72" s="308">
        <v>0</v>
      </c>
      <c r="E72" s="308">
        <v>0</v>
      </c>
      <c r="F72" s="309">
        <f t="shared" si="14"/>
        <v>0</v>
      </c>
      <c r="G72" s="308">
        <v>0</v>
      </c>
      <c r="H72" s="308">
        <v>0</v>
      </c>
      <c r="I72" s="309">
        <f t="shared" si="15"/>
        <v>0</v>
      </c>
    </row>
    <row r="73" spans="2:9" x14ac:dyDescent="0.25">
      <c r="B73" s="185"/>
      <c r="C73" s="181" t="s">
        <v>1237</v>
      </c>
      <c r="D73" s="308">
        <v>0</v>
      </c>
      <c r="E73" s="308">
        <v>0</v>
      </c>
      <c r="F73" s="309">
        <f t="shared" si="14"/>
        <v>0</v>
      </c>
      <c r="G73" s="308">
        <v>0</v>
      </c>
      <c r="H73" s="308">
        <v>0</v>
      </c>
      <c r="I73" s="309">
        <f t="shared" si="15"/>
        <v>0</v>
      </c>
    </row>
    <row r="74" spans="2:9" x14ac:dyDescent="0.25">
      <c r="B74" s="185"/>
      <c r="C74" s="181" t="s">
        <v>1238</v>
      </c>
      <c r="D74" s="308">
        <v>0</v>
      </c>
      <c r="E74" s="308">
        <v>0</v>
      </c>
      <c r="F74" s="309">
        <f t="shared" si="14"/>
        <v>0</v>
      </c>
      <c r="G74" s="308">
        <v>0</v>
      </c>
      <c r="H74" s="308">
        <v>0</v>
      </c>
      <c r="I74" s="309">
        <f t="shared" si="15"/>
        <v>0</v>
      </c>
    </row>
    <row r="75" spans="2:9" x14ac:dyDescent="0.25">
      <c r="B75" s="185"/>
      <c r="C75" s="181" t="s">
        <v>1239</v>
      </c>
      <c r="D75" s="308">
        <v>0</v>
      </c>
      <c r="E75" s="308">
        <v>0</v>
      </c>
      <c r="F75" s="309">
        <f t="shared" si="14"/>
        <v>0</v>
      </c>
      <c r="G75" s="308">
        <v>0</v>
      </c>
      <c r="H75" s="308">
        <v>0</v>
      </c>
      <c r="I75" s="309">
        <f>F75-G75-H75</f>
        <v>0</v>
      </c>
    </row>
    <row r="76" spans="2:9" x14ac:dyDescent="0.25">
      <c r="B76" s="185"/>
      <c r="C76" s="181" t="s">
        <v>1240</v>
      </c>
      <c r="D76" s="308">
        <v>0</v>
      </c>
      <c r="E76" s="308">
        <v>0</v>
      </c>
      <c r="F76" s="309">
        <f t="shared" si="14"/>
        <v>0</v>
      </c>
      <c r="G76" s="308">
        <v>0</v>
      </c>
      <c r="H76" s="308">
        <v>0</v>
      </c>
      <c r="I76" s="309">
        <f>F76-G76-H76</f>
        <v>0</v>
      </c>
    </row>
    <row r="77" spans="2:9" x14ac:dyDescent="0.25">
      <c r="B77" s="148"/>
      <c r="C77" s="149"/>
      <c r="D77" s="226"/>
      <c r="E77" s="226"/>
      <c r="F77" s="226"/>
      <c r="G77" s="226"/>
      <c r="H77" s="226"/>
      <c r="I77" s="226"/>
    </row>
    <row r="78" spans="2:9" x14ac:dyDescent="0.25">
      <c r="B78" s="569" t="s">
        <v>1241</v>
      </c>
      <c r="C78" s="549"/>
      <c r="D78" s="288">
        <f>SUM(D79:D82)</f>
        <v>0</v>
      </c>
      <c r="E78" s="288">
        <f>SUM(E79:E82)</f>
        <v>0</v>
      </c>
      <c r="F78" s="288">
        <f>+D78+E78</f>
        <v>0</v>
      </c>
      <c r="G78" s="288">
        <f>SUM(G79:G82)</f>
        <v>0</v>
      </c>
      <c r="H78" s="288">
        <f>SUM(H79:H82)</f>
        <v>0</v>
      </c>
      <c r="I78" s="288">
        <f>F78-G78-H78</f>
        <v>0</v>
      </c>
    </row>
    <row r="79" spans="2:9" x14ac:dyDescent="0.25">
      <c r="B79" s="185"/>
      <c r="C79" s="181" t="s">
        <v>1242</v>
      </c>
      <c r="D79" s="308">
        <v>0</v>
      </c>
      <c r="E79" s="308">
        <v>0</v>
      </c>
      <c r="F79" s="309">
        <f>+D79+E79</f>
        <v>0</v>
      </c>
      <c r="G79" s="308">
        <v>0</v>
      </c>
      <c r="H79" s="308">
        <v>0</v>
      </c>
      <c r="I79" s="309">
        <f>F79-G79-H79</f>
        <v>0</v>
      </c>
    </row>
    <row r="80" spans="2:9" x14ac:dyDescent="0.25">
      <c r="B80" s="185"/>
      <c r="C80" s="181" t="s">
        <v>1243</v>
      </c>
      <c r="D80" s="308">
        <v>0</v>
      </c>
      <c r="E80" s="308">
        <v>0</v>
      </c>
      <c r="F80" s="309">
        <f>+D80+E80</f>
        <v>0</v>
      </c>
      <c r="G80" s="308">
        <v>0</v>
      </c>
      <c r="H80" s="308">
        <v>0</v>
      </c>
      <c r="I80" s="309">
        <f>F80-G80-H80</f>
        <v>0</v>
      </c>
    </row>
    <row r="81" spans="2:9" x14ac:dyDescent="0.25">
      <c r="B81" s="185"/>
      <c r="C81" s="181" t="s">
        <v>1244</v>
      </c>
      <c r="D81" s="308">
        <v>0</v>
      </c>
      <c r="E81" s="308">
        <v>0</v>
      </c>
      <c r="F81" s="309">
        <f>+D81+E81</f>
        <v>0</v>
      </c>
      <c r="G81" s="308">
        <v>0</v>
      </c>
      <c r="H81" s="308">
        <v>0</v>
      </c>
      <c r="I81" s="309">
        <f>F81-G81-H81</f>
        <v>0</v>
      </c>
    </row>
    <row r="82" spans="2:9" x14ac:dyDescent="0.25">
      <c r="B82" s="185"/>
      <c r="C82" s="181" t="s">
        <v>1245</v>
      </c>
      <c r="D82" s="308">
        <v>0</v>
      </c>
      <c r="E82" s="308">
        <v>0</v>
      </c>
      <c r="F82" s="309">
        <f>+D82+E82</f>
        <v>0</v>
      </c>
      <c r="G82" s="308">
        <v>0</v>
      </c>
      <c r="H82" s="308">
        <v>0</v>
      </c>
      <c r="I82" s="309">
        <f>F82-G82-H82</f>
        <v>0</v>
      </c>
    </row>
    <row r="83" spans="2:9" x14ac:dyDescent="0.25">
      <c r="B83" s="148"/>
      <c r="C83" s="149"/>
      <c r="D83" s="226"/>
      <c r="E83" s="226"/>
      <c r="F83" s="226"/>
      <c r="G83" s="226"/>
      <c r="H83" s="226"/>
      <c r="I83" s="226"/>
    </row>
    <row r="84" spans="2:9" x14ac:dyDescent="0.25">
      <c r="B84" s="569" t="s">
        <v>1194</v>
      </c>
      <c r="C84" s="549"/>
      <c r="D84" s="271">
        <f t="shared" ref="D84:I84" si="16">D10+D47</f>
        <v>19818332</v>
      </c>
      <c r="E84" s="286">
        <f t="shared" si="16"/>
        <v>7791178</v>
      </c>
      <c r="F84" s="271">
        <f t="shared" si="16"/>
        <v>27609510</v>
      </c>
      <c r="G84" s="271">
        <f t="shared" si="16"/>
        <v>18110852</v>
      </c>
      <c r="H84" s="271">
        <f t="shared" si="16"/>
        <v>18110852</v>
      </c>
      <c r="I84" s="286">
        <f t="shared" si="16"/>
        <v>9498658</v>
      </c>
    </row>
    <row r="85" spans="2:9" ht="15.75" thickBot="1" x14ac:dyDescent="0.3">
      <c r="B85" s="150"/>
      <c r="C85" s="151"/>
      <c r="D85" s="235"/>
      <c r="E85" s="235"/>
      <c r="F85" s="235"/>
      <c r="G85" s="235"/>
      <c r="H85" s="235"/>
      <c r="I85" s="235"/>
    </row>
    <row r="89" spans="2:9" x14ac:dyDescent="0.25">
      <c r="C89" s="114" t="s">
        <v>1292</v>
      </c>
      <c r="D89" s="306"/>
      <c r="E89" s="576" t="s">
        <v>1294</v>
      </c>
      <c r="F89" s="576"/>
      <c r="G89" s="576"/>
      <c r="H89" s="576"/>
    </row>
    <row r="90" spans="2:9" x14ac:dyDescent="0.25">
      <c r="C90" s="114" t="s">
        <v>1293</v>
      </c>
      <c r="D90" s="306"/>
      <c r="E90" s="576" t="s">
        <v>1295</v>
      </c>
      <c r="F90" s="576"/>
      <c r="G90" s="576"/>
      <c r="H90" s="576"/>
    </row>
  </sheetData>
  <mergeCells count="23">
    <mergeCell ref="B47:C47"/>
    <mergeCell ref="B48:C48"/>
    <mergeCell ref="E89:H89"/>
    <mergeCell ref="E90:H90"/>
    <mergeCell ref="B67:C67"/>
    <mergeCell ref="B78:C78"/>
    <mergeCell ref="B84:C84"/>
    <mergeCell ref="B58:C58"/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55" orientation="portrait" r:id="rId1"/>
  <ignoredErrors>
    <ignoredError sqref="F30 F41 F48 F58 F67 F78 I2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zoomScale="96" zoomScaleNormal="96" workbookViewId="0">
      <selection activeCell="B1" sqref="B1:H1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</cols>
  <sheetData>
    <row r="1" spans="2:8" ht="34.5" customHeight="1" thickBot="1" x14ac:dyDescent="0.3">
      <c r="B1" s="586" t="s">
        <v>1271</v>
      </c>
      <c r="C1" s="586"/>
      <c r="D1" s="586"/>
      <c r="E1" s="586"/>
      <c r="F1" s="586"/>
      <c r="G1" s="586"/>
      <c r="H1" s="586"/>
    </row>
    <row r="2" spans="2:8" x14ac:dyDescent="0.25">
      <c r="B2" s="508" t="s">
        <v>697</v>
      </c>
      <c r="C2" s="509"/>
      <c r="D2" s="509"/>
      <c r="E2" s="509"/>
      <c r="F2" s="509"/>
      <c r="G2" s="509"/>
      <c r="H2" s="587"/>
    </row>
    <row r="3" spans="2:8" x14ac:dyDescent="0.25">
      <c r="B3" s="577" t="s">
        <v>1195</v>
      </c>
      <c r="C3" s="578"/>
      <c r="D3" s="578"/>
      <c r="E3" s="578"/>
      <c r="F3" s="578"/>
      <c r="G3" s="578"/>
      <c r="H3" s="588"/>
    </row>
    <row r="4" spans="2:8" x14ac:dyDescent="0.25">
      <c r="B4" s="577" t="s">
        <v>1247</v>
      </c>
      <c r="C4" s="578"/>
      <c r="D4" s="578"/>
      <c r="E4" s="578"/>
      <c r="F4" s="578"/>
      <c r="G4" s="578"/>
      <c r="H4" s="588"/>
    </row>
    <row r="5" spans="2:8" x14ac:dyDescent="0.25">
      <c r="B5" s="577" t="s">
        <v>1308</v>
      </c>
      <c r="C5" s="578"/>
      <c r="D5" s="578"/>
      <c r="E5" s="578"/>
      <c r="F5" s="578"/>
      <c r="G5" s="578"/>
      <c r="H5" s="588"/>
    </row>
    <row r="6" spans="2:8" ht="15.75" thickBot="1" x14ac:dyDescent="0.3">
      <c r="B6" s="580" t="s">
        <v>949</v>
      </c>
      <c r="C6" s="581"/>
      <c r="D6" s="581"/>
      <c r="E6" s="581"/>
      <c r="F6" s="581"/>
      <c r="G6" s="581"/>
      <c r="H6" s="589"/>
    </row>
    <row r="7" spans="2:8" ht="15.75" thickBot="1" x14ac:dyDescent="0.3">
      <c r="B7" s="484" t="s">
        <v>849</v>
      </c>
      <c r="C7" s="515" t="s">
        <v>689</v>
      </c>
      <c r="D7" s="592"/>
      <c r="E7" s="592"/>
      <c r="F7" s="592"/>
      <c r="G7" s="516"/>
      <c r="H7" s="487" t="s">
        <v>1197</v>
      </c>
    </row>
    <row r="8" spans="2:8" ht="33" customHeight="1" thickBot="1" x14ac:dyDescent="0.3">
      <c r="B8" s="486"/>
      <c r="C8" s="356" t="s">
        <v>1050</v>
      </c>
      <c r="D8" s="370" t="s">
        <v>1198</v>
      </c>
      <c r="E8" s="356" t="s">
        <v>1199</v>
      </c>
      <c r="F8" s="356" t="s">
        <v>1248</v>
      </c>
      <c r="G8" s="356" t="s">
        <v>692</v>
      </c>
      <c r="H8" s="489"/>
    </row>
    <row r="9" spans="2:8" x14ac:dyDescent="0.25">
      <c r="B9" s="182" t="s">
        <v>1249</v>
      </c>
      <c r="C9" s="272">
        <f t="shared" ref="C9:H9" si="0">C10+C11+C12+C15+C16+C19</f>
        <v>14874000</v>
      </c>
      <c r="D9" s="325">
        <f t="shared" si="0"/>
        <v>1868295</v>
      </c>
      <c r="E9" s="272">
        <f t="shared" si="0"/>
        <v>13005705</v>
      </c>
      <c r="F9" s="272">
        <f t="shared" si="0"/>
        <v>12660693</v>
      </c>
      <c r="G9" s="272">
        <f t="shared" si="0"/>
        <v>12660693</v>
      </c>
      <c r="H9" s="325">
        <f t="shared" si="0"/>
        <v>345012</v>
      </c>
    </row>
    <row r="10" spans="2:8" x14ac:dyDescent="0.25">
      <c r="B10" s="185" t="s">
        <v>1272</v>
      </c>
      <c r="C10" s="221">
        <v>14874000</v>
      </c>
      <c r="D10" s="317">
        <v>1868295</v>
      </c>
      <c r="E10" s="222">
        <f>+C10-D10</f>
        <v>13005705</v>
      </c>
      <c r="F10" s="222">
        <v>12660693</v>
      </c>
      <c r="G10" s="222">
        <v>12660693</v>
      </c>
      <c r="H10" s="317">
        <f>+E10-F10</f>
        <v>345012</v>
      </c>
    </row>
    <row r="11" spans="2:8" x14ac:dyDescent="0.25">
      <c r="B11" s="185" t="s">
        <v>1273</v>
      </c>
      <c r="C11" s="287">
        <v>0</v>
      </c>
      <c r="D11" s="288">
        <v>0</v>
      </c>
      <c r="E11" s="288">
        <f t="shared" ref="E11:E19" si="1">+C11+D11</f>
        <v>0</v>
      </c>
      <c r="F11" s="288">
        <v>0</v>
      </c>
      <c r="G11" s="288">
        <v>0</v>
      </c>
      <c r="H11" s="288">
        <f t="shared" ref="H11:H19" si="2">E11-F11-G11</f>
        <v>0</v>
      </c>
    </row>
    <row r="12" spans="2:8" x14ac:dyDescent="0.25">
      <c r="B12" s="185" t="s">
        <v>1274</v>
      </c>
      <c r="C12" s="287">
        <f>SUM(C13:C14)</f>
        <v>0</v>
      </c>
      <c r="D12" s="288">
        <f>SUM(D13:D14)</f>
        <v>0</v>
      </c>
      <c r="E12" s="288">
        <f t="shared" si="1"/>
        <v>0</v>
      </c>
      <c r="F12" s="288">
        <f>SUM(F13:F14)</f>
        <v>0</v>
      </c>
      <c r="G12" s="288">
        <f>SUM(G13:G14)</f>
        <v>0</v>
      </c>
      <c r="H12" s="288">
        <f t="shared" si="2"/>
        <v>0</v>
      </c>
    </row>
    <row r="13" spans="2:8" x14ac:dyDescent="0.25">
      <c r="B13" s="185" t="s">
        <v>1275</v>
      </c>
      <c r="C13" s="312"/>
      <c r="D13" s="233">
        <v>0</v>
      </c>
      <c r="E13" s="234">
        <f t="shared" si="1"/>
        <v>0</v>
      </c>
      <c r="F13" s="233">
        <v>0</v>
      </c>
      <c r="G13" s="233">
        <v>0</v>
      </c>
      <c r="H13" s="234">
        <f t="shared" si="2"/>
        <v>0</v>
      </c>
    </row>
    <row r="14" spans="2:8" x14ac:dyDescent="0.25">
      <c r="B14" s="185" t="s">
        <v>1276</v>
      </c>
      <c r="C14" s="312">
        <v>0</v>
      </c>
      <c r="D14" s="233">
        <v>0</v>
      </c>
      <c r="E14" s="234">
        <f t="shared" si="1"/>
        <v>0</v>
      </c>
      <c r="F14" s="233">
        <v>0</v>
      </c>
      <c r="G14" s="233">
        <v>0</v>
      </c>
      <c r="H14" s="234">
        <f t="shared" si="2"/>
        <v>0</v>
      </c>
    </row>
    <row r="15" spans="2:8" x14ac:dyDescent="0.25">
      <c r="B15" s="185" t="s">
        <v>1277</v>
      </c>
      <c r="C15" s="287">
        <v>0</v>
      </c>
      <c r="D15" s="288">
        <v>0</v>
      </c>
      <c r="E15" s="288">
        <f t="shared" si="1"/>
        <v>0</v>
      </c>
      <c r="F15" s="288">
        <v>0</v>
      </c>
      <c r="G15" s="288">
        <v>0</v>
      </c>
      <c r="H15" s="288">
        <f t="shared" si="2"/>
        <v>0</v>
      </c>
    </row>
    <row r="16" spans="2:8" ht="22.5" x14ac:dyDescent="0.25">
      <c r="B16" s="183" t="s">
        <v>1278</v>
      </c>
      <c r="C16" s="287">
        <f>SUM(C17:C18)</f>
        <v>0</v>
      </c>
      <c r="D16" s="288">
        <f>SUM(D17:D18)</f>
        <v>0</v>
      </c>
      <c r="E16" s="288">
        <f t="shared" si="1"/>
        <v>0</v>
      </c>
      <c r="F16" s="288">
        <f>SUM(F17:F18)</f>
        <v>0</v>
      </c>
      <c r="G16" s="288">
        <f>SUM(G17:G18)</f>
        <v>0</v>
      </c>
      <c r="H16" s="288">
        <f t="shared" si="2"/>
        <v>0</v>
      </c>
    </row>
    <row r="17" spans="2:8" x14ac:dyDescent="0.25">
      <c r="B17" s="154" t="s">
        <v>1279</v>
      </c>
      <c r="C17" s="312">
        <v>0</v>
      </c>
      <c r="D17" s="233">
        <v>0</v>
      </c>
      <c r="E17" s="234">
        <f t="shared" si="1"/>
        <v>0</v>
      </c>
      <c r="F17" s="233">
        <v>0</v>
      </c>
      <c r="G17" s="233">
        <v>0</v>
      </c>
      <c r="H17" s="234">
        <f t="shared" si="2"/>
        <v>0</v>
      </c>
    </row>
    <row r="18" spans="2:8" x14ac:dyDescent="0.25">
      <c r="B18" s="154" t="s">
        <v>1280</v>
      </c>
      <c r="C18" s="312">
        <v>0</v>
      </c>
      <c r="D18" s="233">
        <v>0</v>
      </c>
      <c r="E18" s="234">
        <f t="shared" si="1"/>
        <v>0</v>
      </c>
      <c r="F18" s="233">
        <v>0</v>
      </c>
      <c r="G18" s="233">
        <v>0</v>
      </c>
      <c r="H18" s="234">
        <f t="shared" si="2"/>
        <v>0</v>
      </c>
    </row>
    <row r="19" spans="2:8" x14ac:dyDescent="0.25">
      <c r="B19" s="185" t="s">
        <v>1281</v>
      </c>
      <c r="C19" s="287">
        <v>0</v>
      </c>
      <c r="D19" s="288">
        <v>0</v>
      </c>
      <c r="E19" s="288">
        <f t="shared" si="1"/>
        <v>0</v>
      </c>
      <c r="F19" s="288">
        <v>0</v>
      </c>
      <c r="G19" s="288">
        <v>0</v>
      </c>
      <c r="H19" s="288">
        <f t="shared" si="2"/>
        <v>0</v>
      </c>
    </row>
    <row r="20" spans="2:8" x14ac:dyDescent="0.25">
      <c r="B20" s="185"/>
      <c r="C20" s="236"/>
      <c r="D20" s="237"/>
      <c r="E20" s="237"/>
      <c r="F20" s="237"/>
      <c r="G20" s="237"/>
      <c r="H20" s="237"/>
    </row>
    <row r="21" spans="2:8" x14ac:dyDescent="0.25">
      <c r="B21" s="184" t="s">
        <v>1250</v>
      </c>
      <c r="C21" s="313">
        <f t="shared" ref="C21:H21" si="3">C22+C23+C24+C27+C28+C31</f>
        <v>0</v>
      </c>
      <c r="D21" s="313">
        <f t="shared" si="3"/>
        <v>0</v>
      </c>
      <c r="E21" s="313">
        <f t="shared" si="3"/>
        <v>0</v>
      </c>
      <c r="F21" s="313">
        <f t="shared" si="3"/>
        <v>0</v>
      </c>
      <c r="G21" s="313">
        <f t="shared" si="3"/>
        <v>0</v>
      </c>
      <c r="H21" s="313">
        <f t="shared" si="3"/>
        <v>0</v>
      </c>
    </row>
    <row r="22" spans="2:8" x14ac:dyDescent="0.25">
      <c r="B22" s="185" t="s">
        <v>1272</v>
      </c>
      <c r="C22" s="287">
        <v>0</v>
      </c>
      <c r="D22" s="288">
        <v>0</v>
      </c>
      <c r="E22" s="288">
        <f t="shared" ref="E22:E31" si="4">+C22+D22</f>
        <v>0</v>
      </c>
      <c r="F22" s="288">
        <v>0</v>
      </c>
      <c r="G22" s="288">
        <v>0</v>
      </c>
      <c r="H22" s="288">
        <f t="shared" ref="H22:H31" si="5">E22-F22-G22</f>
        <v>0</v>
      </c>
    </row>
    <row r="23" spans="2:8" x14ac:dyDescent="0.25">
      <c r="B23" s="185" t="s">
        <v>1273</v>
      </c>
      <c r="C23" s="287">
        <v>0</v>
      </c>
      <c r="D23" s="288">
        <v>0</v>
      </c>
      <c r="E23" s="288">
        <f t="shared" si="4"/>
        <v>0</v>
      </c>
      <c r="F23" s="288">
        <v>0</v>
      </c>
      <c r="G23" s="288">
        <v>0</v>
      </c>
      <c r="H23" s="288">
        <f t="shared" si="5"/>
        <v>0</v>
      </c>
    </row>
    <row r="24" spans="2:8" x14ac:dyDescent="0.25">
      <c r="B24" s="185" t="s">
        <v>1274</v>
      </c>
      <c r="C24" s="287">
        <f>SUM(C25:C26)</f>
        <v>0</v>
      </c>
      <c r="D24" s="288">
        <f>SUM(D25:D26)</f>
        <v>0</v>
      </c>
      <c r="E24" s="288">
        <f t="shared" si="4"/>
        <v>0</v>
      </c>
      <c r="F24" s="288">
        <f>SUM(F25:F26)</f>
        <v>0</v>
      </c>
      <c r="G24" s="288">
        <f>SUM(G25:G26)</f>
        <v>0</v>
      </c>
      <c r="H24" s="288">
        <f t="shared" si="5"/>
        <v>0</v>
      </c>
    </row>
    <row r="25" spans="2:8" x14ac:dyDescent="0.25">
      <c r="B25" s="185" t="s">
        <v>1275</v>
      </c>
      <c r="C25" s="312">
        <v>0</v>
      </c>
      <c r="D25" s="233">
        <v>0</v>
      </c>
      <c r="E25" s="234">
        <f t="shared" si="4"/>
        <v>0</v>
      </c>
      <c r="F25" s="233">
        <v>0</v>
      </c>
      <c r="G25" s="233">
        <v>0</v>
      </c>
      <c r="H25" s="234">
        <f t="shared" si="5"/>
        <v>0</v>
      </c>
    </row>
    <row r="26" spans="2:8" x14ac:dyDescent="0.25">
      <c r="B26" s="185" t="s">
        <v>1276</v>
      </c>
      <c r="C26" s="312">
        <v>0</v>
      </c>
      <c r="D26" s="233">
        <v>0</v>
      </c>
      <c r="E26" s="234">
        <f t="shared" si="4"/>
        <v>0</v>
      </c>
      <c r="F26" s="233">
        <v>0</v>
      </c>
      <c r="G26" s="233">
        <v>0</v>
      </c>
      <c r="H26" s="234">
        <f t="shared" si="5"/>
        <v>0</v>
      </c>
    </row>
    <row r="27" spans="2:8" x14ac:dyDescent="0.25">
      <c r="B27" s="185" t="s">
        <v>1277</v>
      </c>
      <c r="C27" s="287">
        <v>0</v>
      </c>
      <c r="D27" s="288">
        <v>0</v>
      </c>
      <c r="E27" s="288">
        <f t="shared" si="4"/>
        <v>0</v>
      </c>
      <c r="F27" s="288">
        <v>0</v>
      </c>
      <c r="G27" s="288">
        <v>0</v>
      </c>
      <c r="H27" s="288">
        <f t="shared" si="5"/>
        <v>0</v>
      </c>
    </row>
    <row r="28" spans="2:8" ht="22.5" x14ac:dyDescent="0.25">
      <c r="B28" s="183" t="s">
        <v>1278</v>
      </c>
      <c r="C28" s="287">
        <f>SUM(C29:C30)</f>
        <v>0</v>
      </c>
      <c r="D28" s="288">
        <f>SUM(D29:D30)</f>
        <v>0</v>
      </c>
      <c r="E28" s="288">
        <f t="shared" si="4"/>
        <v>0</v>
      </c>
      <c r="F28" s="288">
        <f>SUM(F29:F30)</f>
        <v>0</v>
      </c>
      <c r="G28" s="288">
        <f>SUM(G29:G30)</f>
        <v>0</v>
      </c>
      <c r="H28" s="288">
        <f t="shared" si="5"/>
        <v>0</v>
      </c>
    </row>
    <row r="29" spans="2:8" x14ac:dyDescent="0.25">
      <c r="B29" s="154" t="s">
        <v>1282</v>
      </c>
      <c r="C29" s="307">
        <v>0</v>
      </c>
      <c r="D29" s="308">
        <v>0</v>
      </c>
      <c r="E29" s="309">
        <f t="shared" si="4"/>
        <v>0</v>
      </c>
      <c r="F29" s="308">
        <v>0</v>
      </c>
      <c r="G29" s="308">
        <v>0</v>
      </c>
      <c r="H29" s="309">
        <f t="shared" si="5"/>
        <v>0</v>
      </c>
    </row>
    <row r="30" spans="2:8" x14ac:dyDescent="0.25">
      <c r="B30" s="154" t="s">
        <v>1283</v>
      </c>
      <c r="C30" s="307">
        <v>0</v>
      </c>
      <c r="D30" s="308">
        <v>0</v>
      </c>
      <c r="E30" s="309">
        <f t="shared" si="4"/>
        <v>0</v>
      </c>
      <c r="F30" s="308">
        <v>0</v>
      </c>
      <c r="G30" s="308">
        <v>0</v>
      </c>
      <c r="H30" s="309">
        <f t="shared" si="5"/>
        <v>0</v>
      </c>
    </row>
    <row r="31" spans="2:8" x14ac:dyDescent="0.25">
      <c r="B31" s="185" t="s">
        <v>1281</v>
      </c>
      <c r="C31" s="287">
        <v>0</v>
      </c>
      <c r="D31" s="288">
        <v>0</v>
      </c>
      <c r="E31" s="288">
        <f t="shared" si="4"/>
        <v>0</v>
      </c>
      <c r="F31" s="288">
        <v>0</v>
      </c>
      <c r="G31" s="288">
        <v>0</v>
      </c>
      <c r="H31" s="288">
        <f t="shared" si="5"/>
        <v>0</v>
      </c>
    </row>
    <row r="32" spans="2:8" x14ac:dyDescent="0.25">
      <c r="B32" s="147" t="s">
        <v>1251</v>
      </c>
      <c r="C32" s="273">
        <f t="shared" ref="C32:H32" si="6">C9+C21</f>
        <v>14874000</v>
      </c>
      <c r="D32" s="354">
        <f t="shared" si="6"/>
        <v>1868295</v>
      </c>
      <c r="E32" s="273">
        <f t="shared" si="6"/>
        <v>13005705</v>
      </c>
      <c r="F32" s="273">
        <f t="shared" si="6"/>
        <v>12660693</v>
      </c>
      <c r="G32" s="273">
        <f t="shared" si="6"/>
        <v>12660693</v>
      </c>
      <c r="H32" s="354">
        <f t="shared" si="6"/>
        <v>345012</v>
      </c>
    </row>
    <row r="33" spans="2:8" ht="15.75" thickBot="1" x14ac:dyDescent="0.3">
      <c r="B33" s="186"/>
      <c r="C33" s="152"/>
      <c r="D33" s="153"/>
      <c r="E33" s="153"/>
      <c r="F33" s="153"/>
      <c r="G33" s="153"/>
      <c r="H33" s="153"/>
    </row>
    <row r="37" spans="2:8" x14ac:dyDescent="0.25">
      <c r="B37" s="114" t="s">
        <v>1292</v>
      </c>
      <c r="C37" s="306"/>
      <c r="D37" s="576" t="s">
        <v>1294</v>
      </c>
      <c r="E37" s="576"/>
      <c r="F37" s="576"/>
      <c r="G37" s="576"/>
    </row>
    <row r="38" spans="2:8" x14ac:dyDescent="0.25">
      <c r="B38" s="114" t="s">
        <v>1293</v>
      </c>
      <c r="C38" s="306"/>
      <c r="D38" s="576" t="s">
        <v>1295</v>
      </c>
      <c r="E38" s="576"/>
      <c r="F38" s="576"/>
      <c r="G38" s="576"/>
    </row>
  </sheetData>
  <mergeCells count="11">
    <mergeCell ref="D37:G37"/>
    <mergeCell ref="D38:G38"/>
    <mergeCell ref="B7:B8"/>
    <mergeCell ref="C7:G7"/>
    <mergeCell ref="H7:H8"/>
    <mergeCell ref="B6:H6"/>
    <mergeCell ref="B1:H1"/>
    <mergeCell ref="B2:H2"/>
    <mergeCell ref="B3:H3"/>
    <mergeCell ref="B4:H4"/>
    <mergeCell ref="B5:H5"/>
  </mergeCells>
  <printOptions horizontalCentered="1"/>
  <pageMargins left="0" right="0" top="0" bottom="0" header="0" footer="0"/>
  <pageSetup scale="70" orientation="portrait" horizontalDpi="4294967293" r:id="rId1"/>
  <ignoredErrors>
    <ignoredError sqref="C12:D12 C16:D16 C24:D24 C28:D28 F12:G12 F16:G16 F24:G24 F28:G28" formulaRange="1"/>
    <ignoredError sqref="E12 E16 E24 E28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E757"/>
  <sheetViews>
    <sheetView workbookViewId="0">
      <pane xSplit="6" ySplit="2" topLeftCell="G388" activePane="bottomRight" state="frozen"/>
      <selection pane="topRight" activeCell="G1" sqref="G1"/>
      <selection pane="bottomLeft" activeCell="A3" sqref="A3"/>
      <selection pane="bottomRight" activeCell="AC9" sqref="AC9"/>
    </sheetView>
  </sheetViews>
  <sheetFormatPr baseColWidth="10" defaultRowHeight="15" x14ac:dyDescent="0.25"/>
  <cols>
    <col min="1" max="2" width="2.5703125" bestFit="1" customWidth="1"/>
    <col min="3" max="4" width="2" bestFit="1" customWidth="1"/>
    <col min="5" max="5" width="5.7109375" customWidth="1"/>
    <col min="6" max="6" width="43.85546875" customWidth="1"/>
    <col min="7" max="7" width="16.42578125" customWidth="1"/>
    <col min="8" max="12" width="16.42578125" hidden="1" customWidth="1"/>
    <col min="13" max="13" width="16.42578125" customWidth="1"/>
    <col min="14" max="14" width="16.140625" customWidth="1"/>
    <col min="15" max="19" width="15.7109375" hidden="1" customWidth="1"/>
    <col min="20" max="27" width="15.7109375" customWidth="1"/>
    <col min="28" max="28" width="12.7109375" bestFit="1" customWidth="1"/>
  </cols>
  <sheetData>
    <row r="1" spans="1:31" x14ac:dyDescent="0.25">
      <c r="A1" s="33"/>
      <c r="B1" s="33"/>
      <c r="C1" s="33"/>
      <c r="D1" s="33"/>
      <c r="E1" s="33"/>
      <c r="F1" s="33"/>
      <c r="G1" s="374">
        <v>2016</v>
      </c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4"/>
      <c r="X1" s="374">
        <v>2015</v>
      </c>
      <c r="Y1" s="374"/>
      <c r="Z1" s="374"/>
      <c r="AA1" s="374"/>
      <c r="AB1" s="33"/>
      <c r="AC1" s="33" t="s">
        <v>677</v>
      </c>
      <c r="AD1" s="33"/>
      <c r="AE1" s="33"/>
    </row>
    <row r="2" spans="1:31" x14ac:dyDescent="0.25">
      <c r="A2" s="33"/>
      <c r="B2" s="33"/>
      <c r="C2" s="33"/>
      <c r="D2" s="33"/>
      <c r="E2" s="33"/>
      <c r="F2" s="33"/>
      <c r="G2" s="114" t="s">
        <v>583</v>
      </c>
      <c r="H2" s="112" t="s">
        <v>833</v>
      </c>
      <c r="I2" s="112" t="s">
        <v>834</v>
      </c>
      <c r="J2" s="112" t="s">
        <v>835</v>
      </c>
      <c r="K2" s="112" t="s">
        <v>836</v>
      </c>
      <c r="L2" s="112" t="s">
        <v>1286</v>
      </c>
      <c r="M2" s="112" t="s">
        <v>1297</v>
      </c>
      <c r="N2" s="114" t="s">
        <v>580</v>
      </c>
      <c r="O2" s="112" t="s">
        <v>833</v>
      </c>
      <c r="P2" s="112" t="s">
        <v>834</v>
      </c>
      <c r="Q2" s="112" t="s">
        <v>835</v>
      </c>
      <c r="R2" s="112" t="s">
        <v>836</v>
      </c>
      <c r="S2" s="112" t="s">
        <v>1286</v>
      </c>
      <c r="T2" s="112" t="s">
        <v>1297</v>
      </c>
      <c r="U2" s="114" t="s">
        <v>581</v>
      </c>
      <c r="V2" s="114" t="s">
        <v>582</v>
      </c>
      <c r="W2" s="34"/>
      <c r="X2" s="34" t="s">
        <v>583</v>
      </c>
      <c r="Y2" s="34" t="s">
        <v>580</v>
      </c>
      <c r="Z2" s="34" t="s">
        <v>581</v>
      </c>
      <c r="AA2" s="34" t="s">
        <v>582</v>
      </c>
      <c r="AB2" s="33"/>
      <c r="AC2" s="35" t="s">
        <v>678</v>
      </c>
      <c r="AD2" s="33"/>
      <c r="AE2" s="33"/>
    </row>
    <row r="3" spans="1:31" x14ac:dyDescent="0.25">
      <c r="A3" s="1">
        <v>1</v>
      </c>
      <c r="B3" s="1"/>
      <c r="C3" s="1"/>
      <c r="D3" s="1"/>
      <c r="E3" s="1"/>
      <c r="F3" s="1" t="s">
        <v>80</v>
      </c>
      <c r="G3" s="28">
        <f t="shared" ref="G3:V3" si="0">+G4+G96</f>
        <v>13156895.939999999</v>
      </c>
      <c r="H3" s="16">
        <f t="shared" si="0"/>
        <v>13938627</v>
      </c>
      <c r="I3" s="16">
        <f t="shared" si="0"/>
        <v>1150586</v>
      </c>
      <c r="J3" s="16">
        <f t="shared" si="0"/>
        <v>5743281</v>
      </c>
      <c r="K3" s="16">
        <f t="shared" si="0"/>
        <v>1364474</v>
      </c>
      <c r="L3" s="28">
        <f t="shared" si="0"/>
        <v>15114997</v>
      </c>
      <c r="M3" s="28">
        <f t="shared" si="0"/>
        <v>31703094</v>
      </c>
      <c r="N3" s="28">
        <f t="shared" si="0"/>
        <v>69903911</v>
      </c>
      <c r="O3" s="16">
        <f t="shared" si="0"/>
        <v>18328009.5</v>
      </c>
      <c r="P3" s="16">
        <f t="shared" si="0"/>
        <v>4337040</v>
      </c>
      <c r="Q3" s="16">
        <f t="shared" si="0"/>
        <v>3623587</v>
      </c>
      <c r="R3" s="16">
        <f t="shared" si="0"/>
        <v>4773856</v>
      </c>
      <c r="S3" s="28">
        <f t="shared" si="0"/>
        <v>14948027</v>
      </c>
      <c r="T3" s="28">
        <f t="shared" si="0"/>
        <v>23536632</v>
      </c>
      <c r="U3" s="28">
        <f t="shared" si="0"/>
        <v>70386447.5</v>
      </c>
      <c r="V3" s="28">
        <f t="shared" si="0"/>
        <v>12674358.439999999</v>
      </c>
      <c r="W3" s="28"/>
      <c r="X3" s="28">
        <f>+X4+X96</f>
        <v>9964914.3499999996</v>
      </c>
      <c r="Y3" s="28"/>
      <c r="Z3" s="28"/>
      <c r="AA3" s="28">
        <f>+AA4+AA96</f>
        <v>5815214.3499999996</v>
      </c>
      <c r="AB3" s="33"/>
      <c r="AC3" s="33" t="s">
        <v>817</v>
      </c>
      <c r="AD3" s="33"/>
      <c r="AE3" s="33"/>
    </row>
    <row r="4" spans="1:31" x14ac:dyDescent="0.25">
      <c r="A4" s="2">
        <v>1</v>
      </c>
      <c r="B4" s="2">
        <v>1</v>
      </c>
      <c r="C4" s="2"/>
      <c r="D4" s="2"/>
      <c r="E4" s="2"/>
      <c r="F4" s="2" t="s">
        <v>81</v>
      </c>
      <c r="G4" s="24">
        <f t="shared" ref="G4:V4" si="1">+G5+G42+G75+G81+G87+G89+G92</f>
        <v>9755587</v>
      </c>
      <c r="H4" s="113">
        <f t="shared" si="1"/>
        <v>13938627</v>
      </c>
      <c r="I4" s="113">
        <f t="shared" si="1"/>
        <v>1150586</v>
      </c>
      <c r="J4" s="113">
        <f t="shared" si="1"/>
        <v>5743281</v>
      </c>
      <c r="K4" s="113">
        <f t="shared" si="1"/>
        <v>1364474</v>
      </c>
      <c r="L4" s="24">
        <f t="shared" si="1"/>
        <v>15114997</v>
      </c>
      <c r="M4" s="24">
        <f t="shared" si="1"/>
        <v>31703094</v>
      </c>
      <c r="N4" s="24">
        <f t="shared" si="1"/>
        <v>69054251</v>
      </c>
      <c r="O4" s="113">
        <f t="shared" si="1"/>
        <v>18146011</v>
      </c>
      <c r="P4" s="113">
        <f t="shared" si="1"/>
        <v>4337040</v>
      </c>
      <c r="Q4" s="113">
        <f t="shared" si="1"/>
        <v>3623587</v>
      </c>
      <c r="R4" s="113">
        <f t="shared" si="1"/>
        <v>4773856</v>
      </c>
      <c r="S4" s="24">
        <f t="shared" si="1"/>
        <v>14948027</v>
      </c>
      <c r="T4" s="24">
        <f t="shared" si="1"/>
        <v>23536632</v>
      </c>
      <c r="U4" s="24">
        <f t="shared" si="1"/>
        <v>69475719</v>
      </c>
      <c r="V4" s="24">
        <f t="shared" si="1"/>
        <v>9334119</v>
      </c>
      <c r="W4" s="24"/>
      <c r="X4" s="24">
        <f>+X5+X42+X75+X81+X87+X89+X92</f>
        <v>6698197.4100000001</v>
      </c>
      <c r="Y4" s="24"/>
      <c r="Z4" s="24"/>
      <c r="AA4" s="24">
        <f>+AA5+AA42+AA75+AA81+AA87+AA89+AA92</f>
        <v>2688197.41</v>
      </c>
      <c r="AB4" s="33"/>
      <c r="AC4" s="33" t="s">
        <v>818</v>
      </c>
      <c r="AD4" s="33"/>
      <c r="AE4" s="33"/>
    </row>
    <row r="5" spans="1:31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 t="shared" ref="G5:V5" si="2">+G7+G37+G38+G39+G40+G41</f>
        <v>9739632</v>
      </c>
      <c r="H5" s="7">
        <f t="shared" si="2"/>
        <v>13923261</v>
      </c>
      <c r="I5" s="7">
        <f t="shared" si="2"/>
        <v>1149190</v>
      </c>
      <c r="J5" s="7">
        <f t="shared" si="2"/>
        <v>5741416</v>
      </c>
      <c r="K5" s="7">
        <f t="shared" si="2"/>
        <v>1364168</v>
      </c>
      <c r="L5" s="7">
        <f t="shared" si="2"/>
        <v>15114997</v>
      </c>
      <c r="M5" s="7">
        <f t="shared" si="2"/>
        <v>31657458</v>
      </c>
      <c r="N5" s="7">
        <f t="shared" si="2"/>
        <v>68950490</v>
      </c>
      <c r="O5" s="7">
        <f t="shared" si="2"/>
        <v>18143948</v>
      </c>
      <c r="P5" s="7">
        <f t="shared" si="2"/>
        <v>4334263</v>
      </c>
      <c r="Q5" s="7">
        <f t="shared" si="2"/>
        <v>3621277</v>
      </c>
      <c r="R5" s="7">
        <f t="shared" si="2"/>
        <v>4771856</v>
      </c>
      <c r="S5" s="7">
        <f t="shared" si="2"/>
        <v>14948027</v>
      </c>
      <c r="T5" s="7">
        <f t="shared" si="2"/>
        <v>23536632</v>
      </c>
      <c r="U5" s="7">
        <f t="shared" si="2"/>
        <v>69356003</v>
      </c>
      <c r="V5" s="7">
        <f t="shared" si="2"/>
        <v>9334119</v>
      </c>
      <c r="W5" s="7"/>
      <c r="X5" s="7">
        <f>+X7+X37+X38+X39+X40+X41</f>
        <v>6465501</v>
      </c>
      <c r="Y5" s="7"/>
      <c r="Z5" s="7"/>
      <c r="AA5" s="7">
        <f>+AA7+AA37+AA38+AA39+AA40+AA41</f>
        <v>2465501</v>
      </c>
      <c r="AB5" s="33"/>
      <c r="AC5" s="33" t="s">
        <v>697</v>
      </c>
      <c r="AD5" s="33"/>
      <c r="AE5" s="33"/>
    </row>
    <row r="6" spans="1:31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5"/>
      <c r="W6" s="5"/>
      <c r="X6" s="3"/>
      <c r="Y6" s="5"/>
      <c r="Z6" s="5"/>
      <c r="AA6" s="5"/>
      <c r="AB6" s="33"/>
      <c r="AC6" s="33" t="s">
        <v>697</v>
      </c>
      <c r="AD6" s="33"/>
      <c r="AE6" s="33"/>
    </row>
    <row r="7" spans="1:31" x14ac:dyDescent="0.25">
      <c r="A7" s="14">
        <v>1</v>
      </c>
      <c r="B7" s="14">
        <v>1</v>
      </c>
      <c r="C7" s="14">
        <v>1</v>
      </c>
      <c r="D7" s="14">
        <v>2</v>
      </c>
      <c r="E7" s="14"/>
      <c r="F7" s="14" t="s">
        <v>83</v>
      </c>
      <c r="G7" s="15">
        <f t="shared" ref="G7:V7" si="3">SUM(G8:G36)</f>
        <v>9739632</v>
      </c>
      <c r="H7" s="15">
        <f t="shared" si="3"/>
        <v>13923261</v>
      </c>
      <c r="I7" s="15">
        <f t="shared" si="3"/>
        <v>1149190</v>
      </c>
      <c r="J7" s="15">
        <f t="shared" si="3"/>
        <v>5741416</v>
      </c>
      <c r="K7" s="15">
        <f t="shared" si="3"/>
        <v>1364168</v>
      </c>
      <c r="L7" s="15">
        <f t="shared" si="3"/>
        <v>15114997</v>
      </c>
      <c r="M7" s="15">
        <f t="shared" ref="M7" si="4">SUM(M8:M36)</f>
        <v>31657458</v>
      </c>
      <c r="N7" s="15">
        <f t="shared" si="3"/>
        <v>68950490</v>
      </c>
      <c r="O7" s="15">
        <f t="shared" si="3"/>
        <v>18143948</v>
      </c>
      <c r="P7" s="15">
        <f t="shared" si="3"/>
        <v>4334263</v>
      </c>
      <c r="Q7" s="15">
        <f t="shared" si="3"/>
        <v>3621277</v>
      </c>
      <c r="R7" s="15">
        <f t="shared" si="3"/>
        <v>4771856</v>
      </c>
      <c r="S7" s="15">
        <f t="shared" si="3"/>
        <v>14948027</v>
      </c>
      <c r="T7" s="15">
        <f t="shared" ref="T7" si="5">SUM(T8:T36)</f>
        <v>23536632</v>
      </c>
      <c r="U7" s="15">
        <f t="shared" si="3"/>
        <v>69356003</v>
      </c>
      <c r="V7" s="15">
        <f t="shared" si="3"/>
        <v>9334119</v>
      </c>
      <c r="W7" s="15"/>
      <c r="X7" s="15">
        <f>SUM(X8:X24)</f>
        <v>6465501</v>
      </c>
      <c r="Y7" s="15"/>
      <c r="Z7" s="15"/>
      <c r="AA7" s="15">
        <f>SUM(AA8:AA24)</f>
        <v>2465501</v>
      </c>
      <c r="AB7" s="33"/>
      <c r="AC7" s="33" t="s">
        <v>1305</v>
      </c>
      <c r="AD7" s="33"/>
      <c r="AE7" s="33"/>
    </row>
    <row r="8" spans="1:31" x14ac:dyDescent="0.25">
      <c r="A8" s="3"/>
      <c r="B8" s="3"/>
      <c r="C8" s="3"/>
      <c r="D8" s="3"/>
      <c r="E8" s="3">
        <v>1</v>
      </c>
      <c r="F8" s="3" t="s">
        <v>441</v>
      </c>
      <c r="G8" s="16">
        <v>24465</v>
      </c>
      <c r="H8" s="16">
        <v>114900</v>
      </c>
      <c r="I8" s="16"/>
      <c r="J8" s="16"/>
      <c r="K8" s="16"/>
      <c r="L8" s="16"/>
      <c r="M8" s="16"/>
      <c r="N8" s="16">
        <f>SUM(H8:K8)</f>
        <v>114900</v>
      </c>
      <c r="O8" s="16">
        <v>139365</v>
      </c>
      <c r="P8" s="16"/>
      <c r="Q8" s="16"/>
      <c r="R8" s="16"/>
      <c r="S8" s="16"/>
      <c r="T8" s="16"/>
      <c r="U8" s="16">
        <f>SUM(O8:R8)</f>
        <v>139365</v>
      </c>
      <c r="V8" s="5">
        <f t="shared" ref="V8:V33" si="6">+G8+N8-U8</f>
        <v>0</v>
      </c>
      <c r="W8" s="5"/>
      <c r="X8" s="16">
        <f>17050+1</f>
        <v>17051</v>
      </c>
      <c r="Y8" s="5"/>
      <c r="Z8" s="5"/>
      <c r="AA8" s="5">
        <f>+X8+Y8-Z8</f>
        <v>17051</v>
      </c>
      <c r="AB8" s="33"/>
      <c r="AC8" s="33" t="s">
        <v>1306</v>
      </c>
      <c r="AD8" s="33"/>
      <c r="AE8" s="33"/>
    </row>
    <row r="9" spans="1:31" x14ac:dyDescent="0.25">
      <c r="A9" s="3"/>
      <c r="B9" s="3"/>
      <c r="C9" s="3"/>
      <c r="D9" s="3"/>
      <c r="E9" s="3">
        <v>2</v>
      </c>
      <c r="F9" s="3" t="s">
        <v>442</v>
      </c>
      <c r="G9" s="16">
        <v>20728</v>
      </c>
      <c r="H9" s="16">
        <v>0</v>
      </c>
      <c r="I9" s="16"/>
      <c r="J9" s="16"/>
      <c r="K9" s="16"/>
      <c r="L9" s="16"/>
      <c r="M9" s="16"/>
      <c r="N9" s="16">
        <f>SUM(H9:K9)</f>
        <v>0</v>
      </c>
      <c r="O9" s="16">
        <v>20728</v>
      </c>
      <c r="P9" s="16"/>
      <c r="Q9" s="16"/>
      <c r="R9" s="16"/>
      <c r="S9" s="16"/>
      <c r="T9" s="16"/>
      <c r="U9" s="16">
        <f>SUM(O9:R9)</f>
        <v>20728</v>
      </c>
      <c r="V9" s="5">
        <f t="shared" si="6"/>
        <v>0</v>
      </c>
      <c r="W9" s="5"/>
      <c r="X9" s="16">
        <v>77927</v>
      </c>
      <c r="Y9" s="5"/>
      <c r="Z9" s="5"/>
      <c r="AA9" s="5">
        <f>+X9+Y9-Z9</f>
        <v>77927</v>
      </c>
      <c r="AB9" s="33"/>
      <c r="AC9" s="32" t="s">
        <v>832</v>
      </c>
      <c r="AD9" s="33"/>
      <c r="AE9" s="33"/>
    </row>
    <row r="10" spans="1:31" x14ac:dyDescent="0.25">
      <c r="A10" s="3"/>
      <c r="B10" s="3"/>
      <c r="C10" s="3"/>
      <c r="D10" s="3"/>
      <c r="E10" s="3">
        <v>3</v>
      </c>
      <c r="F10" s="3" t="s">
        <v>443</v>
      </c>
      <c r="G10" s="16"/>
      <c r="H10" s="16"/>
      <c r="I10" s="16"/>
      <c r="J10" s="16"/>
      <c r="K10" s="16"/>
      <c r="L10" s="16"/>
      <c r="M10" s="16"/>
      <c r="N10" s="16">
        <f>SUM(H10:K10)</f>
        <v>0</v>
      </c>
      <c r="O10" s="16"/>
      <c r="P10" s="16"/>
      <c r="Q10" s="16"/>
      <c r="R10" s="16"/>
      <c r="S10" s="16"/>
      <c r="T10" s="16"/>
      <c r="U10" s="16">
        <f>SUM(O10:R10)</f>
        <v>0</v>
      </c>
      <c r="V10" s="5">
        <f t="shared" si="6"/>
        <v>0</v>
      </c>
      <c r="W10" s="5"/>
      <c r="X10" s="16">
        <v>74343</v>
      </c>
      <c r="Y10" s="5"/>
      <c r="Z10" s="5"/>
      <c r="AA10" s="5">
        <f>+X10+Y10-Z10</f>
        <v>74343</v>
      </c>
      <c r="AB10" s="33"/>
      <c r="AC10" s="33"/>
      <c r="AD10" s="33"/>
      <c r="AE10" s="33"/>
    </row>
    <row r="11" spans="1:31" x14ac:dyDescent="0.25">
      <c r="A11" s="3"/>
      <c r="B11" s="3"/>
      <c r="C11" s="3"/>
      <c r="D11" s="3"/>
      <c r="E11" s="3">
        <v>4</v>
      </c>
      <c r="F11" s="3" t="s">
        <v>444</v>
      </c>
      <c r="G11" s="16">
        <v>23465</v>
      </c>
      <c r="H11" s="16">
        <v>1520</v>
      </c>
      <c r="I11" s="16">
        <v>0</v>
      </c>
      <c r="J11" s="16">
        <v>1699</v>
      </c>
      <c r="K11" s="16">
        <v>1000</v>
      </c>
      <c r="L11" s="16">
        <f>110+1411</f>
        <v>1521</v>
      </c>
      <c r="M11" s="16">
        <f>2356</f>
        <v>2356</v>
      </c>
      <c r="N11" s="16">
        <f>SUM(H11:M11)</f>
        <v>8096</v>
      </c>
      <c r="O11" s="16">
        <v>1301</v>
      </c>
      <c r="P11" s="16">
        <v>96</v>
      </c>
      <c r="Q11" s="16"/>
      <c r="R11" s="16"/>
      <c r="S11" s="16">
        <v>589</v>
      </c>
      <c r="T11" s="16">
        <f>1329+247</f>
        <v>1576</v>
      </c>
      <c r="U11" s="16">
        <f>SUM(O11:T11)</f>
        <v>3562</v>
      </c>
      <c r="V11" s="5">
        <f t="shared" si="6"/>
        <v>27999</v>
      </c>
      <c r="W11" s="5"/>
      <c r="X11" s="16">
        <v>56632</v>
      </c>
      <c r="Y11" s="5"/>
      <c r="Z11" s="5"/>
      <c r="AA11" s="5">
        <f t="shared" ref="AA11:AA23" si="7">+X11+Y11-Z11</f>
        <v>56632</v>
      </c>
      <c r="AB11" s="33"/>
      <c r="AC11" s="33"/>
      <c r="AD11" s="33"/>
      <c r="AE11" s="33"/>
    </row>
    <row r="12" spans="1:31" hidden="1" x14ac:dyDescent="0.25">
      <c r="A12" s="3"/>
      <c r="B12" s="3"/>
      <c r="C12" s="3"/>
      <c r="D12" s="3"/>
      <c r="E12" s="3">
        <v>5</v>
      </c>
      <c r="F12" s="3" t="s">
        <v>445</v>
      </c>
      <c r="G12" s="16"/>
      <c r="H12" s="16"/>
      <c r="I12" s="16"/>
      <c r="J12" s="16"/>
      <c r="K12" s="16"/>
      <c r="L12" s="16"/>
      <c r="M12" s="16"/>
      <c r="N12" s="16">
        <f t="shared" ref="N12:N36" si="8">SUM(H12:M12)</f>
        <v>0</v>
      </c>
      <c r="O12" s="16"/>
      <c r="P12" s="16"/>
      <c r="Q12" s="16"/>
      <c r="R12" s="16"/>
      <c r="S12" s="16"/>
      <c r="T12" s="16"/>
      <c r="U12" s="16">
        <f t="shared" ref="U12:U36" si="9">SUM(O12:T12)</f>
        <v>0</v>
      </c>
      <c r="V12" s="5">
        <f t="shared" si="6"/>
        <v>0</v>
      </c>
      <c r="W12" s="5"/>
      <c r="X12" s="16">
        <v>0</v>
      </c>
      <c r="Y12" s="5"/>
      <c r="Z12" s="5"/>
      <c r="AA12" s="5">
        <f t="shared" si="7"/>
        <v>0</v>
      </c>
      <c r="AB12" s="33"/>
      <c r="AC12" s="33"/>
      <c r="AD12" s="33"/>
      <c r="AE12" s="33"/>
    </row>
    <row r="13" spans="1:31" hidden="1" x14ac:dyDescent="0.25">
      <c r="A13" s="3"/>
      <c r="B13" s="3"/>
      <c r="C13" s="3"/>
      <c r="D13" s="3"/>
      <c r="E13" s="3">
        <v>9</v>
      </c>
      <c r="F13" s="3" t="s">
        <v>590</v>
      </c>
      <c r="G13" s="16"/>
      <c r="H13" s="16"/>
      <c r="I13" s="16"/>
      <c r="J13" s="16"/>
      <c r="K13" s="16"/>
      <c r="L13" s="16"/>
      <c r="M13" s="16"/>
      <c r="N13" s="16">
        <f t="shared" si="8"/>
        <v>0</v>
      </c>
      <c r="O13" s="16"/>
      <c r="P13" s="16"/>
      <c r="Q13" s="16"/>
      <c r="R13" s="16"/>
      <c r="S13" s="16"/>
      <c r="T13" s="16"/>
      <c r="U13" s="16">
        <f t="shared" si="9"/>
        <v>0</v>
      </c>
      <c r="V13" s="5">
        <f t="shared" si="6"/>
        <v>0</v>
      </c>
      <c r="W13" s="5"/>
      <c r="X13" s="16">
        <v>316104</v>
      </c>
      <c r="Y13" s="5"/>
      <c r="Z13" s="5"/>
      <c r="AA13" s="5">
        <f t="shared" si="7"/>
        <v>316104</v>
      </c>
      <c r="AB13" s="33"/>
      <c r="AC13" s="33"/>
      <c r="AD13" s="33"/>
      <c r="AE13" s="33"/>
    </row>
    <row r="14" spans="1:31" hidden="1" x14ac:dyDescent="0.25">
      <c r="A14" s="3"/>
      <c r="B14" s="3"/>
      <c r="C14" s="3"/>
      <c r="D14" s="3"/>
      <c r="E14" s="3">
        <v>11</v>
      </c>
      <c r="F14" s="3" t="s">
        <v>446</v>
      </c>
      <c r="G14" s="16"/>
      <c r="H14" s="16"/>
      <c r="I14" s="16"/>
      <c r="J14" s="16"/>
      <c r="K14" s="16"/>
      <c r="L14" s="16"/>
      <c r="M14" s="16"/>
      <c r="N14" s="16">
        <f t="shared" si="8"/>
        <v>0</v>
      </c>
      <c r="O14" s="16"/>
      <c r="P14" s="16"/>
      <c r="Q14" s="16"/>
      <c r="R14" s="16"/>
      <c r="S14" s="16"/>
      <c r="T14" s="16"/>
      <c r="U14" s="16">
        <f t="shared" si="9"/>
        <v>0</v>
      </c>
      <c r="V14" s="5">
        <f t="shared" si="6"/>
        <v>0</v>
      </c>
      <c r="W14" s="5"/>
      <c r="X14" s="16">
        <v>113783</v>
      </c>
      <c r="Y14" s="5"/>
      <c r="Z14" s="5"/>
      <c r="AA14" s="5">
        <f t="shared" si="7"/>
        <v>113783</v>
      </c>
      <c r="AB14" s="33"/>
      <c r="AC14" s="33"/>
      <c r="AD14" s="33"/>
      <c r="AE14" s="33"/>
    </row>
    <row r="15" spans="1:31" x14ac:dyDescent="0.25">
      <c r="A15" s="3"/>
      <c r="B15" s="3"/>
      <c r="C15" s="3"/>
      <c r="D15" s="3"/>
      <c r="E15" s="3">
        <v>16</v>
      </c>
      <c r="F15" s="3" t="s">
        <v>447</v>
      </c>
      <c r="G15" s="16">
        <v>1358007</v>
      </c>
      <c r="H15" s="16">
        <v>0</v>
      </c>
      <c r="I15" s="16"/>
      <c r="J15" s="16"/>
      <c r="K15" s="16"/>
      <c r="L15" s="16"/>
      <c r="M15" s="16">
        <v>0</v>
      </c>
      <c r="N15" s="16">
        <f t="shared" si="8"/>
        <v>0</v>
      </c>
      <c r="O15" s="16">
        <v>612658</v>
      </c>
      <c r="P15" s="16">
        <v>89603</v>
      </c>
      <c r="Q15" s="16">
        <v>147386</v>
      </c>
      <c r="R15" s="16">
        <v>53296</v>
      </c>
      <c r="S15" s="16">
        <f>150559+22881+7000</f>
        <v>180440</v>
      </c>
      <c r="T15" s="16">
        <f>267624+7000</f>
        <v>274624</v>
      </c>
      <c r="U15" s="16">
        <f t="shared" si="9"/>
        <v>1358007</v>
      </c>
      <c r="V15" s="5">
        <f t="shared" si="6"/>
        <v>0</v>
      </c>
      <c r="W15" s="5"/>
      <c r="X15" s="16">
        <v>1508615</v>
      </c>
      <c r="Y15" s="5"/>
      <c r="Z15" s="5"/>
      <c r="AA15" s="5">
        <f t="shared" si="7"/>
        <v>1508615</v>
      </c>
      <c r="AB15" s="33"/>
      <c r="AC15" s="33"/>
      <c r="AD15" s="33"/>
      <c r="AE15" s="33"/>
    </row>
    <row r="16" spans="1:31" hidden="1" x14ac:dyDescent="0.25">
      <c r="A16" s="3"/>
      <c r="B16" s="3"/>
      <c r="C16" s="3"/>
      <c r="D16" s="3"/>
      <c r="E16" s="3">
        <v>17</v>
      </c>
      <c r="F16" s="3" t="s">
        <v>448</v>
      </c>
      <c r="G16" s="16">
        <v>0</v>
      </c>
      <c r="H16" s="16"/>
      <c r="I16" s="16"/>
      <c r="J16" s="16"/>
      <c r="K16" s="16"/>
      <c r="L16" s="16"/>
      <c r="M16" s="16"/>
      <c r="N16" s="16">
        <f t="shared" si="8"/>
        <v>0</v>
      </c>
      <c r="O16" s="16"/>
      <c r="P16" s="16"/>
      <c r="Q16" s="16"/>
      <c r="R16" s="16"/>
      <c r="S16" s="16"/>
      <c r="T16" s="16"/>
      <c r="U16" s="16">
        <f t="shared" si="9"/>
        <v>0</v>
      </c>
      <c r="V16" s="5">
        <f t="shared" si="6"/>
        <v>0</v>
      </c>
      <c r="W16" s="5"/>
      <c r="X16" s="16">
        <v>0</v>
      </c>
      <c r="Y16" s="5"/>
      <c r="Z16" s="5"/>
      <c r="AA16" s="5">
        <f t="shared" si="7"/>
        <v>0</v>
      </c>
      <c r="AB16" s="33"/>
      <c r="AC16" s="33"/>
      <c r="AD16" s="33"/>
      <c r="AE16" s="33"/>
    </row>
    <row r="17" spans="1:31" hidden="1" x14ac:dyDescent="0.25">
      <c r="A17" s="3"/>
      <c r="B17" s="3"/>
      <c r="C17" s="3"/>
      <c r="D17" s="3"/>
      <c r="E17" s="3">
        <v>18</v>
      </c>
      <c r="F17" s="3" t="s">
        <v>449</v>
      </c>
      <c r="G17" s="16">
        <v>0</v>
      </c>
      <c r="H17" s="16"/>
      <c r="I17" s="16"/>
      <c r="J17" s="16"/>
      <c r="K17" s="16"/>
      <c r="L17" s="16"/>
      <c r="M17" s="16"/>
      <c r="N17" s="16">
        <f t="shared" si="8"/>
        <v>0</v>
      </c>
      <c r="O17" s="16"/>
      <c r="P17" s="16"/>
      <c r="Q17" s="16"/>
      <c r="R17" s="16"/>
      <c r="S17" s="16"/>
      <c r="T17" s="16"/>
      <c r="U17" s="16">
        <f t="shared" si="9"/>
        <v>0</v>
      </c>
      <c r="V17" s="5">
        <f t="shared" si="6"/>
        <v>0</v>
      </c>
      <c r="W17" s="5"/>
      <c r="X17" s="16">
        <v>0</v>
      </c>
      <c r="Y17" s="5"/>
      <c r="Z17" s="5"/>
      <c r="AA17" s="5">
        <f t="shared" si="7"/>
        <v>0</v>
      </c>
      <c r="AB17" s="33"/>
      <c r="AC17" s="33"/>
      <c r="AD17" s="33"/>
      <c r="AE17" s="33"/>
    </row>
    <row r="18" spans="1:31" hidden="1" x14ac:dyDescent="0.25">
      <c r="A18" s="3"/>
      <c r="B18" s="3"/>
      <c r="C18" s="3"/>
      <c r="D18" s="3"/>
      <c r="E18" s="3">
        <v>19</v>
      </c>
      <c r="F18" s="3" t="s">
        <v>450</v>
      </c>
      <c r="G18" s="16">
        <v>0</v>
      </c>
      <c r="H18" s="16"/>
      <c r="I18" s="16"/>
      <c r="J18" s="16"/>
      <c r="K18" s="16"/>
      <c r="L18" s="16"/>
      <c r="M18" s="16"/>
      <c r="N18" s="16">
        <f t="shared" si="8"/>
        <v>0</v>
      </c>
      <c r="O18" s="16"/>
      <c r="P18" s="16"/>
      <c r="Q18" s="16"/>
      <c r="R18" s="16"/>
      <c r="S18" s="16"/>
      <c r="T18" s="16"/>
      <c r="U18" s="16">
        <f t="shared" si="9"/>
        <v>0</v>
      </c>
      <c r="V18" s="5">
        <f t="shared" si="6"/>
        <v>0</v>
      </c>
      <c r="W18" s="5"/>
      <c r="X18" s="16">
        <v>0</v>
      </c>
      <c r="Y18" s="5"/>
      <c r="Z18" s="5"/>
      <c r="AA18" s="5">
        <f t="shared" si="7"/>
        <v>0</v>
      </c>
      <c r="AB18" s="33"/>
      <c r="AC18" s="33"/>
      <c r="AD18" s="33"/>
      <c r="AE18" s="33"/>
    </row>
    <row r="19" spans="1:31" hidden="1" x14ac:dyDescent="0.25">
      <c r="A19" s="3"/>
      <c r="B19" s="3"/>
      <c r="C19" s="3"/>
      <c r="D19" s="3"/>
      <c r="E19" s="3">
        <v>20</v>
      </c>
      <c r="F19" s="3" t="s">
        <v>680</v>
      </c>
      <c r="G19" s="16">
        <v>0</v>
      </c>
      <c r="H19" s="16"/>
      <c r="I19" s="16"/>
      <c r="J19" s="16"/>
      <c r="K19" s="16"/>
      <c r="L19" s="16"/>
      <c r="M19" s="16"/>
      <c r="N19" s="16">
        <f t="shared" si="8"/>
        <v>0</v>
      </c>
      <c r="O19" s="16"/>
      <c r="P19" s="16"/>
      <c r="Q19" s="16"/>
      <c r="R19" s="16"/>
      <c r="S19" s="16"/>
      <c r="T19" s="16"/>
      <c r="U19" s="16">
        <f t="shared" si="9"/>
        <v>0</v>
      </c>
      <c r="V19" s="5">
        <f t="shared" si="6"/>
        <v>0</v>
      </c>
      <c r="W19" s="5"/>
      <c r="X19" s="16">
        <v>0</v>
      </c>
      <c r="Y19" s="5"/>
      <c r="Z19" s="5"/>
      <c r="AA19" s="5">
        <f t="shared" si="7"/>
        <v>0</v>
      </c>
      <c r="AB19" s="33"/>
      <c r="AC19" s="33"/>
      <c r="AD19" s="33"/>
      <c r="AE19" s="33"/>
    </row>
    <row r="20" spans="1:31" hidden="1" x14ac:dyDescent="0.25">
      <c r="A20" s="3"/>
      <c r="B20" s="3"/>
      <c r="C20" s="3"/>
      <c r="D20" s="3"/>
      <c r="E20" s="3">
        <v>21</v>
      </c>
      <c r="F20" s="3" t="s">
        <v>679</v>
      </c>
      <c r="G20" s="16">
        <v>0</v>
      </c>
      <c r="H20" s="5"/>
      <c r="I20" s="5"/>
      <c r="J20" s="5"/>
      <c r="K20" s="5"/>
      <c r="L20" s="5"/>
      <c r="M20" s="5"/>
      <c r="N20" s="16">
        <f t="shared" si="8"/>
        <v>0</v>
      </c>
      <c r="O20" s="5"/>
      <c r="P20" s="5"/>
      <c r="Q20" s="5"/>
      <c r="R20" s="5"/>
      <c r="S20" s="5"/>
      <c r="T20" s="5"/>
      <c r="U20" s="16">
        <f t="shared" si="9"/>
        <v>0</v>
      </c>
      <c r="V20" s="5">
        <f t="shared" si="6"/>
        <v>0</v>
      </c>
      <c r="W20" s="5"/>
      <c r="X20" s="16">
        <v>0</v>
      </c>
      <c r="Y20" s="5"/>
      <c r="Z20" s="5"/>
      <c r="AA20" s="5">
        <f t="shared" si="7"/>
        <v>0</v>
      </c>
      <c r="AB20" s="33"/>
      <c r="AC20" s="33"/>
      <c r="AD20" s="33"/>
      <c r="AE20" s="33"/>
    </row>
    <row r="21" spans="1:31" hidden="1" x14ac:dyDescent="0.25">
      <c r="A21" s="3"/>
      <c r="B21" s="3"/>
      <c r="C21" s="3"/>
      <c r="D21" s="3"/>
      <c r="E21" s="3">
        <v>23</v>
      </c>
      <c r="F21" s="3" t="s">
        <v>452</v>
      </c>
      <c r="G21" s="16">
        <v>0</v>
      </c>
      <c r="H21" s="16"/>
      <c r="I21" s="16"/>
      <c r="J21" s="16"/>
      <c r="K21" s="16"/>
      <c r="L21" s="16"/>
      <c r="M21" s="16"/>
      <c r="N21" s="16">
        <f t="shared" si="8"/>
        <v>0</v>
      </c>
      <c r="O21" s="16"/>
      <c r="P21" s="16"/>
      <c r="Q21" s="16"/>
      <c r="R21" s="16"/>
      <c r="S21" s="16"/>
      <c r="T21" s="16"/>
      <c r="U21" s="16">
        <f t="shared" si="9"/>
        <v>0</v>
      </c>
      <c r="V21" s="5">
        <f t="shared" si="6"/>
        <v>0</v>
      </c>
      <c r="W21" s="5"/>
      <c r="X21" s="16">
        <v>0</v>
      </c>
      <c r="Y21" s="5"/>
      <c r="Z21" s="5"/>
      <c r="AA21" s="5">
        <f t="shared" si="7"/>
        <v>0</v>
      </c>
      <c r="AB21" s="33"/>
      <c r="AC21" s="33"/>
      <c r="AD21" s="33"/>
      <c r="AE21" s="33"/>
    </row>
    <row r="22" spans="1:31" hidden="1" x14ac:dyDescent="0.25">
      <c r="A22" s="3"/>
      <c r="B22" s="3"/>
      <c r="C22" s="3"/>
      <c r="D22" s="3"/>
      <c r="E22" s="3">
        <v>25</v>
      </c>
      <c r="F22" s="3" t="s">
        <v>451</v>
      </c>
      <c r="G22" s="16"/>
      <c r="H22" s="16"/>
      <c r="I22" s="16"/>
      <c r="J22" s="16"/>
      <c r="K22" s="16"/>
      <c r="L22" s="16"/>
      <c r="M22" s="16"/>
      <c r="N22" s="16">
        <f t="shared" si="8"/>
        <v>0</v>
      </c>
      <c r="O22" s="16"/>
      <c r="P22" s="16"/>
      <c r="Q22" s="16"/>
      <c r="R22" s="16"/>
      <c r="S22" s="16"/>
      <c r="T22" s="16"/>
      <c r="U22" s="16">
        <f t="shared" si="9"/>
        <v>0</v>
      </c>
      <c r="V22" s="5">
        <f t="shared" si="6"/>
        <v>0</v>
      </c>
      <c r="W22" s="5"/>
      <c r="X22" s="16">
        <v>0</v>
      </c>
      <c r="Y22" s="5"/>
      <c r="Z22" s="5"/>
      <c r="AA22" s="5">
        <f t="shared" si="7"/>
        <v>0</v>
      </c>
      <c r="AB22" s="33"/>
      <c r="AC22" s="33"/>
      <c r="AD22" s="33"/>
      <c r="AE22" s="33"/>
    </row>
    <row r="23" spans="1:31" hidden="1" x14ac:dyDescent="0.25">
      <c r="A23" s="3"/>
      <c r="B23" s="3"/>
      <c r="C23" s="3"/>
      <c r="D23" s="3"/>
      <c r="E23" s="3">
        <v>26</v>
      </c>
      <c r="F23" s="3" t="s">
        <v>453</v>
      </c>
      <c r="G23" s="16"/>
      <c r="H23" s="16"/>
      <c r="I23" s="16"/>
      <c r="J23" s="16"/>
      <c r="K23" s="16"/>
      <c r="L23" s="16"/>
      <c r="M23" s="16"/>
      <c r="N23" s="16">
        <f t="shared" si="8"/>
        <v>0</v>
      </c>
      <c r="O23" s="16"/>
      <c r="P23" s="16"/>
      <c r="Q23" s="16"/>
      <c r="R23" s="16"/>
      <c r="S23" s="16"/>
      <c r="T23" s="16"/>
      <c r="U23" s="16">
        <f t="shared" si="9"/>
        <v>0</v>
      </c>
      <c r="V23" s="5">
        <f t="shared" si="6"/>
        <v>0</v>
      </c>
      <c r="W23" s="5"/>
      <c r="X23" s="16">
        <v>301046</v>
      </c>
      <c r="Y23" s="5"/>
      <c r="Z23" s="5"/>
      <c r="AA23" s="5">
        <f t="shared" si="7"/>
        <v>301046</v>
      </c>
      <c r="AB23" s="33"/>
      <c r="AC23" s="33"/>
      <c r="AD23" s="33"/>
      <c r="AE23" s="33"/>
    </row>
    <row r="24" spans="1:31" x14ac:dyDescent="0.25">
      <c r="A24" s="3"/>
      <c r="B24" s="3"/>
      <c r="C24" s="3"/>
      <c r="D24" s="3"/>
      <c r="E24" s="3">
        <v>27</v>
      </c>
      <c r="F24" s="3" t="s">
        <v>682</v>
      </c>
      <c r="G24" s="16">
        <v>24</v>
      </c>
      <c r="H24" s="16">
        <v>0</v>
      </c>
      <c r="I24" s="16"/>
      <c r="J24" s="16"/>
      <c r="K24" s="16"/>
      <c r="L24" s="16"/>
      <c r="M24" s="16"/>
      <c r="N24" s="16">
        <f t="shared" si="8"/>
        <v>0</v>
      </c>
      <c r="O24" s="16">
        <v>24</v>
      </c>
      <c r="P24" s="16"/>
      <c r="Q24" s="16"/>
      <c r="R24" s="16"/>
      <c r="S24" s="16"/>
      <c r="T24" s="16"/>
      <c r="U24" s="16">
        <f t="shared" si="9"/>
        <v>24</v>
      </c>
      <c r="V24" s="5">
        <f t="shared" si="6"/>
        <v>0</v>
      </c>
      <c r="W24" s="5"/>
      <c r="X24" s="16">
        <v>4000000</v>
      </c>
      <c r="Y24" s="5"/>
      <c r="Z24" s="5"/>
      <c r="AA24" s="5"/>
      <c r="AB24" s="33"/>
      <c r="AC24" s="33"/>
      <c r="AD24" s="33"/>
      <c r="AE24" s="33"/>
    </row>
    <row r="25" spans="1:31" x14ac:dyDescent="0.25">
      <c r="A25" s="3"/>
      <c r="B25" s="3"/>
      <c r="C25" s="3"/>
      <c r="D25" s="3"/>
      <c r="E25" s="3">
        <v>28</v>
      </c>
      <c r="F25" s="3" t="s">
        <v>699</v>
      </c>
      <c r="G25" s="16">
        <v>100000</v>
      </c>
      <c r="H25" s="16">
        <v>0</v>
      </c>
      <c r="I25" s="16"/>
      <c r="J25" s="16"/>
      <c r="K25" s="16"/>
      <c r="L25" s="16"/>
      <c r="M25" s="16"/>
      <c r="N25" s="16">
        <f t="shared" si="8"/>
        <v>0</v>
      </c>
      <c r="O25" s="16">
        <v>100000</v>
      </c>
      <c r="P25" s="16"/>
      <c r="Q25" s="16"/>
      <c r="R25" s="16"/>
      <c r="S25" s="16"/>
      <c r="T25" s="16"/>
      <c r="U25" s="16">
        <f t="shared" si="9"/>
        <v>100000</v>
      </c>
      <c r="V25" s="5">
        <f t="shared" si="6"/>
        <v>0</v>
      </c>
      <c r="W25" s="5"/>
      <c r="X25" s="16">
        <v>0</v>
      </c>
      <c r="Y25" s="5"/>
      <c r="Z25" s="5"/>
      <c r="AA25" s="5"/>
      <c r="AB25" s="33"/>
      <c r="AC25" s="33"/>
      <c r="AD25" s="33"/>
      <c r="AE25" s="33"/>
    </row>
    <row r="26" spans="1:31" x14ac:dyDescent="0.25">
      <c r="A26" s="3"/>
      <c r="B26" s="3"/>
      <c r="C26" s="3"/>
      <c r="D26" s="3"/>
      <c r="E26" s="3">
        <v>29</v>
      </c>
      <c r="F26" s="3" t="s">
        <v>700</v>
      </c>
      <c r="G26" s="16">
        <v>6669089</v>
      </c>
      <c r="H26" s="16">
        <v>3654201</v>
      </c>
      <c r="I26" s="16">
        <v>42</v>
      </c>
      <c r="J26" s="16">
        <v>3654017</v>
      </c>
      <c r="K26" s="16">
        <v>34</v>
      </c>
      <c r="L26" s="16">
        <f>1990582+1677886+8</f>
        <v>3668476</v>
      </c>
      <c r="M26" s="16">
        <f>7+9153646</f>
        <v>9153653</v>
      </c>
      <c r="N26" s="16">
        <f t="shared" si="8"/>
        <v>20130423</v>
      </c>
      <c r="O26" s="16">
        <v>8017216</v>
      </c>
      <c r="P26" s="16">
        <v>2125156</v>
      </c>
      <c r="Q26" s="16">
        <v>1009200</v>
      </c>
      <c r="R26" s="16">
        <v>2825760</v>
      </c>
      <c r="S26" s="16">
        <f>1370159+999440+1275920</f>
        <v>3645519</v>
      </c>
      <c r="T26" s="16">
        <v>23015</v>
      </c>
      <c r="U26" s="16">
        <f t="shared" si="9"/>
        <v>17645866</v>
      </c>
      <c r="V26" s="5">
        <f t="shared" si="6"/>
        <v>9153646</v>
      </c>
      <c r="W26" s="5"/>
      <c r="X26" s="16">
        <v>0</v>
      </c>
      <c r="Y26" s="5"/>
      <c r="Z26" s="5"/>
      <c r="AA26" s="5"/>
      <c r="AB26" s="33"/>
      <c r="AC26" s="33"/>
      <c r="AD26" s="33"/>
      <c r="AE26" s="33"/>
    </row>
    <row r="27" spans="1:31" x14ac:dyDescent="0.25">
      <c r="A27" s="3"/>
      <c r="B27" s="3"/>
      <c r="C27" s="3"/>
      <c r="D27" s="3"/>
      <c r="E27" s="3">
        <v>30</v>
      </c>
      <c r="F27" s="3" t="s">
        <v>701</v>
      </c>
      <c r="G27" s="16">
        <v>0</v>
      </c>
      <c r="H27" s="16">
        <v>0</v>
      </c>
      <c r="I27" s="16"/>
      <c r="J27" s="16"/>
      <c r="K27" s="16"/>
      <c r="L27" s="16"/>
      <c r="M27" s="16"/>
      <c r="N27" s="16">
        <f t="shared" si="8"/>
        <v>0</v>
      </c>
      <c r="O27" s="16">
        <v>0</v>
      </c>
      <c r="P27" s="16"/>
      <c r="Q27" s="16"/>
      <c r="R27" s="16"/>
      <c r="S27" s="16"/>
      <c r="T27" s="16"/>
      <c r="U27" s="16">
        <f t="shared" si="9"/>
        <v>0</v>
      </c>
      <c r="V27" s="5">
        <f t="shared" si="6"/>
        <v>0</v>
      </c>
      <c r="W27" s="5"/>
      <c r="X27" s="16"/>
      <c r="Y27" s="5"/>
      <c r="Z27" s="5"/>
      <c r="AA27" s="5"/>
      <c r="AB27" s="33"/>
      <c r="AC27" s="33"/>
      <c r="AD27" s="33"/>
      <c r="AE27" s="33"/>
    </row>
    <row r="28" spans="1:31" x14ac:dyDescent="0.25">
      <c r="A28" s="3"/>
      <c r="B28" s="3"/>
      <c r="C28" s="3"/>
      <c r="D28" s="3"/>
      <c r="E28" s="3">
        <v>31</v>
      </c>
      <c r="F28" s="3" t="s">
        <v>813</v>
      </c>
      <c r="G28" s="16">
        <v>550202</v>
      </c>
      <c r="H28" s="16">
        <v>14</v>
      </c>
      <c r="I28" s="16">
        <v>4</v>
      </c>
      <c r="J28" s="16">
        <v>4</v>
      </c>
      <c r="K28" s="16">
        <v>3</v>
      </c>
      <c r="L28" s="16">
        <f>2+2+1</f>
        <v>5</v>
      </c>
      <c r="M28" s="16">
        <f>1+1+1</f>
        <v>3</v>
      </c>
      <c r="N28" s="16">
        <f t="shared" si="8"/>
        <v>33</v>
      </c>
      <c r="O28" s="16">
        <v>27638</v>
      </c>
      <c r="P28" s="16">
        <v>19256</v>
      </c>
      <c r="Q28" s="16">
        <v>194592</v>
      </c>
      <c r="R28" s="16">
        <v>23745</v>
      </c>
      <c r="S28" s="16">
        <f>8412+197137+8412</f>
        <v>213961</v>
      </c>
      <c r="T28" s="16">
        <f>8412+8412+8412</f>
        <v>25236</v>
      </c>
      <c r="U28" s="16">
        <f t="shared" si="9"/>
        <v>504428</v>
      </c>
      <c r="V28" s="5">
        <f t="shared" si="6"/>
        <v>45807</v>
      </c>
      <c r="W28" s="5"/>
      <c r="X28" s="16"/>
      <c r="Y28" s="5"/>
      <c r="Z28" s="5"/>
      <c r="AA28" s="5"/>
      <c r="AB28" s="33"/>
      <c r="AC28" s="33"/>
      <c r="AD28" s="33"/>
      <c r="AE28" s="33"/>
    </row>
    <row r="29" spans="1:31" x14ac:dyDescent="0.25">
      <c r="A29" s="3"/>
      <c r="B29" s="3"/>
      <c r="C29" s="3"/>
      <c r="D29" s="3"/>
      <c r="E29" s="3">
        <v>32</v>
      </c>
      <c r="F29" s="3" t="s">
        <v>1287</v>
      </c>
      <c r="G29" s="16">
        <v>993652</v>
      </c>
      <c r="H29" s="16">
        <v>1031049</v>
      </c>
      <c r="I29" s="16">
        <v>4</v>
      </c>
      <c r="J29" s="16">
        <v>154003</v>
      </c>
      <c r="K29" s="16">
        <v>10003</v>
      </c>
      <c r="L29" s="16">
        <f>35001+1</f>
        <v>35002</v>
      </c>
      <c r="M29" s="16">
        <v>0</v>
      </c>
      <c r="N29" s="16">
        <f t="shared" si="8"/>
        <v>1230061</v>
      </c>
      <c r="O29" s="16">
        <v>1485775</v>
      </c>
      <c r="P29" s="16">
        <v>268001</v>
      </c>
      <c r="Q29" s="16">
        <v>182473</v>
      </c>
      <c r="R29" s="16">
        <v>161737</v>
      </c>
      <c r="S29" s="16">
        <f>124800+927</f>
        <v>125727</v>
      </c>
      <c r="T29" s="16">
        <v>0</v>
      </c>
      <c r="U29" s="16">
        <f t="shared" si="9"/>
        <v>2223713</v>
      </c>
      <c r="V29" s="5">
        <f t="shared" si="6"/>
        <v>0</v>
      </c>
      <c r="W29" s="5"/>
      <c r="X29" s="16">
        <v>0</v>
      </c>
      <c r="Y29" s="5"/>
      <c r="Z29" s="5"/>
      <c r="AA29" s="5"/>
      <c r="AB29" s="33"/>
      <c r="AC29" s="33"/>
      <c r="AD29" s="33"/>
      <c r="AE29" s="33"/>
    </row>
    <row r="30" spans="1:31" x14ac:dyDescent="0.25">
      <c r="A30" s="3"/>
      <c r="B30" s="3"/>
      <c r="C30" s="3"/>
      <c r="D30" s="3"/>
      <c r="E30" s="3">
        <v>33</v>
      </c>
      <c r="F30" s="3" t="s">
        <v>828</v>
      </c>
      <c r="G30" s="16">
        <v>0</v>
      </c>
      <c r="H30" s="16">
        <v>654837</v>
      </c>
      <c r="I30" s="16">
        <v>259693</v>
      </c>
      <c r="J30" s="16">
        <v>292693</v>
      </c>
      <c r="K30" s="16">
        <v>152126</v>
      </c>
      <c r="L30" s="16">
        <f>552611+697799+694287</f>
        <v>1944697</v>
      </c>
      <c r="M30" s="16">
        <f>900007+565939+877706</f>
        <v>2343652</v>
      </c>
      <c r="N30" s="16">
        <f t="shared" si="8"/>
        <v>5647698</v>
      </c>
      <c r="O30" s="16">
        <v>639620</v>
      </c>
      <c r="P30" s="16">
        <v>212457</v>
      </c>
      <c r="Q30" s="16">
        <v>326847</v>
      </c>
      <c r="R30" s="16">
        <v>168116</v>
      </c>
      <c r="S30" s="16">
        <f>564058+655112+724270</f>
        <v>1943440</v>
      </c>
      <c r="T30" s="16">
        <f>410397+852796+987357+1</f>
        <v>2250551</v>
      </c>
      <c r="U30" s="16">
        <f t="shared" si="9"/>
        <v>5541031</v>
      </c>
      <c r="V30" s="5">
        <f t="shared" si="6"/>
        <v>106667</v>
      </c>
      <c r="W30" s="5"/>
      <c r="X30" s="16"/>
      <c r="Y30" s="5"/>
      <c r="Z30" s="5"/>
      <c r="AA30" s="5"/>
      <c r="AB30" s="33"/>
      <c r="AC30" s="33"/>
      <c r="AD30" s="33"/>
      <c r="AE30" s="33"/>
    </row>
    <row r="31" spans="1:31" x14ac:dyDescent="0.25">
      <c r="A31" s="3"/>
      <c r="B31" s="3"/>
      <c r="C31" s="3"/>
      <c r="D31" s="3"/>
      <c r="E31" s="3">
        <v>34</v>
      </c>
      <c r="F31" s="3" t="s">
        <v>1288</v>
      </c>
      <c r="G31" s="16"/>
      <c r="H31" s="16">
        <v>2861740</v>
      </c>
      <c r="I31" s="16">
        <v>886240</v>
      </c>
      <c r="J31" s="16">
        <v>1639000</v>
      </c>
      <c r="K31" s="16">
        <v>851002</v>
      </c>
      <c r="L31" s="16">
        <f>1161756+1416136+1167245</f>
        <v>3745137</v>
      </c>
      <c r="M31" s="16">
        <f>882452+1285001+10966066</f>
        <v>13133519</v>
      </c>
      <c r="N31" s="16">
        <f t="shared" si="8"/>
        <v>23116638</v>
      </c>
      <c r="O31" s="16">
        <v>2774885</v>
      </c>
      <c r="P31" s="16">
        <v>877247</v>
      </c>
      <c r="Q31" s="16">
        <v>1228847</v>
      </c>
      <c r="R31" s="16">
        <v>1196050</v>
      </c>
      <c r="S31" s="16">
        <f>1242608+1416853+1156847</f>
        <v>3816308</v>
      </c>
      <c r="T31" s="16">
        <f>886148+1291593+11045560</f>
        <v>13223301</v>
      </c>
      <c r="U31" s="16">
        <f t="shared" si="9"/>
        <v>23116638</v>
      </c>
      <c r="V31" s="5">
        <f t="shared" si="6"/>
        <v>0</v>
      </c>
      <c r="W31" s="5"/>
      <c r="X31" s="16"/>
      <c r="Y31" s="5"/>
      <c r="Z31" s="5"/>
      <c r="AA31" s="5"/>
      <c r="AB31" s="33"/>
      <c r="AC31" s="33"/>
      <c r="AD31" s="33"/>
      <c r="AE31" s="33"/>
    </row>
    <row r="32" spans="1:31" x14ac:dyDescent="0.25">
      <c r="A32" s="3"/>
      <c r="B32" s="3"/>
      <c r="C32" s="3"/>
      <c r="D32" s="3"/>
      <c r="E32" s="3">
        <v>35</v>
      </c>
      <c r="F32" s="3" t="s">
        <v>829</v>
      </c>
      <c r="G32" s="16"/>
      <c r="H32" s="16">
        <v>2620000</v>
      </c>
      <c r="I32" s="16">
        <v>3207</v>
      </c>
      <c r="J32" s="16">
        <v>0</v>
      </c>
      <c r="K32" s="16">
        <v>350000</v>
      </c>
      <c r="L32" s="16">
        <f>1</f>
        <v>1</v>
      </c>
      <c r="M32" s="16">
        <f>5349+0-1</f>
        <v>5348</v>
      </c>
      <c r="N32" s="16">
        <f t="shared" si="8"/>
        <v>2978556</v>
      </c>
      <c r="O32" s="16">
        <v>2384089</v>
      </c>
      <c r="P32" s="16">
        <v>0</v>
      </c>
      <c r="Q32" s="16">
        <v>230028</v>
      </c>
      <c r="R32" s="16">
        <v>343152</v>
      </c>
      <c r="S32" s="16">
        <f>10000+0</f>
        <v>10000</v>
      </c>
      <c r="T32" s="16">
        <f>6079+5208</f>
        <v>11287</v>
      </c>
      <c r="U32" s="16">
        <f t="shared" si="9"/>
        <v>2978556</v>
      </c>
      <c r="V32" s="5">
        <f t="shared" si="6"/>
        <v>0</v>
      </c>
      <c r="W32" s="5"/>
      <c r="X32" s="16"/>
      <c r="Y32" s="5"/>
      <c r="Z32" s="5"/>
      <c r="AA32" s="5"/>
      <c r="AB32" s="33"/>
      <c r="AC32" s="33"/>
      <c r="AD32" s="33"/>
      <c r="AE32" s="33"/>
    </row>
    <row r="33" spans="1:31" x14ac:dyDescent="0.25">
      <c r="A33" s="3"/>
      <c r="B33" s="3"/>
      <c r="C33" s="3"/>
      <c r="D33" s="3"/>
      <c r="E33" s="3">
        <v>36</v>
      </c>
      <c r="F33" s="3" t="s">
        <v>830</v>
      </c>
      <c r="G33" s="16"/>
      <c r="H33" s="16">
        <v>2985000</v>
      </c>
      <c r="I33" s="16">
        <v>0</v>
      </c>
      <c r="J33" s="16">
        <v>0</v>
      </c>
      <c r="K33" s="16">
        <v>0</v>
      </c>
      <c r="L33" s="16"/>
      <c r="M33" s="16"/>
      <c r="N33" s="16">
        <f t="shared" si="8"/>
        <v>2985000</v>
      </c>
      <c r="O33" s="16">
        <v>1940649</v>
      </c>
      <c r="P33" s="16">
        <v>742447</v>
      </c>
      <c r="Q33" s="16">
        <v>301904</v>
      </c>
      <c r="R33" s="16">
        <v>0</v>
      </c>
      <c r="S33" s="16"/>
      <c r="T33" s="16"/>
      <c r="U33" s="16">
        <f t="shared" si="9"/>
        <v>2985000</v>
      </c>
      <c r="V33" s="5">
        <f t="shared" si="6"/>
        <v>0</v>
      </c>
      <c r="W33" s="5"/>
      <c r="X33" s="16"/>
      <c r="Y33" s="5"/>
      <c r="Z33" s="5"/>
      <c r="AA33" s="5"/>
      <c r="AB33" s="33"/>
      <c r="AC33" s="33"/>
      <c r="AD33" s="33"/>
      <c r="AE33" s="33"/>
    </row>
    <row r="34" spans="1:31" x14ac:dyDescent="0.25">
      <c r="A34" s="3"/>
      <c r="B34" s="3"/>
      <c r="C34" s="3"/>
      <c r="D34" s="3"/>
      <c r="E34" s="3">
        <v>37</v>
      </c>
      <c r="F34" s="3" t="s">
        <v>839</v>
      </c>
      <c r="G34" s="16"/>
      <c r="H34" s="16"/>
      <c r="I34" s="16"/>
      <c r="J34" s="16"/>
      <c r="K34" s="16"/>
      <c r="L34" s="16">
        <f>1747578+0</f>
        <v>1747578</v>
      </c>
      <c r="M34" s="16">
        <f>748962+0+0</f>
        <v>748962</v>
      </c>
      <c r="N34" s="16">
        <f t="shared" si="8"/>
        <v>2496540</v>
      </c>
      <c r="O34" s="16"/>
      <c r="P34" s="16"/>
      <c r="Q34" s="16"/>
      <c r="R34" s="16"/>
      <c r="S34" s="16">
        <f>287455+752008</f>
        <v>1039463</v>
      </c>
      <c r="T34" s="16">
        <f>1079509+377568</f>
        <v>1457077</v>
      </c>
      <c r="U34" s="16">
        <f t="shared" si="9"/>
        <v>2496540</v>
      </c>
      <c r="V34" s="5">
        <f>+G34+N34-U34</f>
        <v>0</v>
      </c>
      <c r="W34" s="5"/>
      <c r="X34" s="16"/>
      <c r="Y34" s="5"/>
      <c r="Z34" s="5"/>
      <c r="AA34" s="5"/>
      <c r="AB34" s="33"/>
      <c r="AC34" s="33"/>
      <c r="AD34" s="33"/>
      <c r="AE34" s="33"/>
    </row>
    <row r="35" spans="1:31" x14ac:dyDescent="0.25">
      <c r="A35" s="3"/>
      <c r="B35" s="3"/>
      <c r="C35" s="3"/>
      <c r="D35" s="3"/>
      <c r="E35" s="3">
        <v>38</v>
      </c>
      <c r="F35" s="3" t="s">
        <v>840</v>
      </c>
      <c r="G35" s="16"/>
      <c r="H35" s="16"/>
      <c r="I35" s="16"/>
      <c r="J35" s="16"/>
      <c r="K35" s="16"/>
      <c r="L35" s="16">
        <f>1986289+1</f>
        <v>1986290</v>
      </c>
      <c r="M35" s="16">
        <f>2648392+30+1121538</f>
        <v>3769960</v>
      </c>
      <c r="N35" s="16">
        <f t="shared" ref="N35" si="10">SUM(H35:M35)</f>
        <v>5756250</v>
      </c>
      <c r="O35" s="16"/>
      <c r="P35" s="16"/>
      <c r="Q35" s="16"/>
      <c r="R35" s="16"/>
      <c r="S35" s="16">
        <f>636000+1350290</f>
        <v>1986290</v>
      </c>
      <c r="T35" s="16">
        <f>1649124+978734+1142102</f>
        <v>3769960</v>
      </c>
      <c r="U35" s="16">
        <f t="shared" ref="U35" si="11">SUM(O35:T35)</f>
        <v>5756250</v>
      </c>
      <c r="V35" s="5">
        <f>+G35+N35-U35</f>
        <v>0</v>
      </c>
      <c r="W35" s="5"/>
      <c r="X35" s="16"/>
      <c r="Y35" s="5"/>
      <c r="Z35" s="5"/>
      <c r="AA35" s="5"/>
      <c r="AB35" s="33"/>
      <c r="AC35" s="33"/>
      <c r="AD35" s="33"/>
      <c r="AE35" s="33"/>
    </row>
    <row r="36" spans="1:31" x14ac:dyDescent="0.25">
      <c r="A36" s="3"/>
      <c r="B36" s="3"/>
      <c r="C36" s="3"/>
      <c r="D36" s="3"/>
      <c r="E36" s="3">
        <v>39</v>
      </c>
      <c r="F36" s="3" t="s">
        <v>1298</v>
      </c>
      <c r="G36" s="16"/>
      <c r="H36" s="16"/>
      <c r="I36" s="16"/>
      <c r="J36" s="16"/>
      <c r="K36" s="16"/>
      <c r="L36" s="16">
        <f>1986289+1</f>
        <v>1986290</v>
      </c>
      <c r="M36" s="16">
        <f>2500000+5</f>
        <v>2500005</v>
      </c>
      <c r="N36" s="16">
        <f t="shared" si="8"/>
        <v>4486295</v>
      </c>
      <c r="O36" s="16"/>
      <c r="P36" s="16"/>
      <c r="Q36" s="16"/>
      <c r="R36" s="16"/>
      <c r="S36" s="16">
        <f>636000+1350290</f>
        <v>1986290</v>
      </c>
      <c r="T36" s="16">
        <f>853974+1646031</f>
        <v>2500005</v>
      </c>
      <c r="U36" s="16">
        <f t="shared" si="9"/>
        <v>4486295</v>
      </c>
      <c r="V36" s="5">
        <f>+G36+N36-U36</f>
        <v>0</v>
      </c>
      <c r="W36" s="5"/>
      <c r="X36" s="16"/>
      <c r="Y36" s="5"/>
      <c r="Z36" s="5"/>
      <c r="AA36" s="5"/>
      <c r="AB36" s="33"/>
      <c r="AC36" s="33"/>
      <c r="AD36" s="33"/>
      <c r="AE36" s="33"/>
    </row>
    <row r="37" spans="1:31" hidden="1" x14ac:dyDescent="0.25">
      <c r="A37" s="3">
        <v>1</v>
      </c>
      <c r="B37" s="3">
        <v>1</v>
      </c>
      <c r="C37" s="3">
        <v>1</v>
      </c>
      <c r="D37" s="3">
        <v>3</v>
      </c>
      <c r="E37" s="3"/>
      <c r="F37" s="3" t="s">
        <v>84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5"/>
      <c r="W37" s="5"/>
      <c r="X37" s="3"/>
      <c r="Y37" s="5"/>
      <c r="Z37" s="5"/>
      <c r="AA37" s="5"/>
      <c r="AB37" s="33"/>
      <c r="AC37" s="33"/>
      <c r="AD37" s="33"/>
      <c r="AE37" s="33"/>
    </row>
    <row r="38" spans="1:31" hidden="1" x14ac:dyDescent="0.25">
      <c r="A38" s="3">
        <v>1</v>
      </c>
      <c r="B38" s="3">
        <v>1</v>
      </c>
      <c r="C38" s="3">
        <v>1</v>
      </c>
      <c r="D38" s="3">
        <v>4</v>
      </c>
      <c r="E38" s="3"/>
      <c r="F38" s="3" t="s">
        <v>85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5"/>
      <c r="W38" s="5"/>
      <c r="X38" s="3"/>
      <c r="Y38" s="5"/>
      <c r="Z38" s="5"/>
      <c r="AA38" s="5"/>
      <c r="AB38" s="33"/>
      <c r="AC38" s="33"/>
      <c r="AD38" s="33"/>
      <c r="AE38" s="33"/>
    </row>
    <row r="39" spans="1:31" hidden="1" x14ac:dyDescent="0.25">
      <c r="A39" s="3">
        <v>1</v>
      </c>
      <c r="B39" s="3">
        <v>1</v>
      </c>
      <c r="C39" s="3">
        <v>1</v>
      </c>
      <c r="D39" s="3">
        <v>5</v>
      </c>
      <c r="E39" s="3"/>
      <c r="F39" s="3" t="s">
        <v>86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5"/>
      <c r="W39" s="5"/>
      <c r="X39" s="3"/>
      <c r="Y39" s="5"/>
      <c r="Z39" s="5"/>
      <c r="AA39" s="5"/>
      <c r="AB39" s="33"/>
      <c r="AC39" s="33"/>
      <c r="AD39" s="33"/>
      <c r="AE39" s="33"/>
    </row>
    <row r="40" spans="1:31" ht="24" hidden="1" x14ac:dyDescent="0.25">
      <c r="A40" s="3">
        <v>1</v>
      </c>
      <c r="B40" s="3">
        <v>1</v>
      </c>
      <c r="C40" s="3">
        <v>1</v>
      </c>
      <c r="D40" s="3">
        <v>6</v>
      </c>
      <c r="E40" s="3"/>
      <c r="F40" s="3" t="s">
        <v>87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5"/>
      <c r="W40" s="5"/>
      <c r="X40" s="3"/>
      <c r="Y40" s="5"/>
      <c r="Z40" s="5"/>
      <c r="AA40" s="5"/>
      <c r="AB40" s="33"/>
      <c r="AC40" s="33"/>
      <c r="AD40" s="33"/>
      <c r="AE40" s="33"/>
    </row>
    <row r="41" spans="1:31" hidden="1" x14ac:dyDescent="0.25">
      <c r="A41" s="3">
        <v>1</v>
      </c>
      <c r="B41" s="3">
        <v>1</v>
      </c>
      <c r="C41" s="3">
        <v>1</v>
      </c>
      <c r="D41" s="3">
        <v>9</v>
      </c>
      <c r="E41" s="3"/>
      <c r="F41" s="3" t="s">
        <v>88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5"/>
      <c r="W41" s="5"/>
      <c r="X41" s="3"/>
      <c r="Y41" s="5"/>
      <c r="Z41" s="5"/>
      <c r="AA41" s="5"/>
      <c r="AB41" s="33"/>
      <c r="AC41" s="33"/>
      <c r="AD41" s="33"/>
      <c r="AE41" s="33"/>
    </row>
    <row r="42" spans="1:31" x14ac:dyDescent="0.25">
      <c r="A42" s="1">
        <v>1</v>
      </c>
      <c r="B42" s="1">
        <v>1</v>
      </c>
      <c r="C42" s="1">
        <v>2</v>
      </c>
      <c r="D42" s="1"/>
      <c r="E42" s="1"/>
      <c r="F42" s="23" t="s">
        <v>44</v>
      </c>
      <c r="G42" s="28">
        <f>+G43+G44+G45+G70+G71+G72+G73</f>
        <v>15955</v>
      </c>
      <c r="H42" s="28">
        <f>+H43+H44+H45+H70+H71+H72+H73</f>
        <v>15366</v>
      </c>
      <c r="I42" s="28">
        <f>+I43+I44+I45+I70+I71+I72+I73</f>
        <v>1396</v>
      </c>
      <c r="J42" s="28">
        <f>+J43+J44+J45+J70+J71+J72+J73</f>
        <v>1865</v>
      </c>
      <c r="K42" s="28">
        <f>+K43+K44+K45+K70+K71+K72+K73</f>
        <v>306</v>
      </c>
      <c r="L42" s="28"/>
      <c r="M42" s="28">
        <f t="shared" ref="M42:R42" si="12">+M43+M44+M45+M70+M71+M72+M73</f>
        <v>45636</v>
      </c>
      <c r="N42" s="28">
        <f t="shared" si="12"/>
        <v>103761</v>
      </c>
      <c r="O42" s="28">
        <f t="shared" si="12"/>
        <v>2063</v>
      </c>
      <c r="P42" s="28">
        <f t="shared" si="12"/>
        <v>2777</v>
      </c>
      <c r="Q42" s="28">
        <f t="shared" si="12"/>
        <v>2310</v>
      </c>
      <c r="R42" s="28">
        <f t="shared" si="12"/>
        <v>2000</v>
      </c>
      <c r="S42" s="28"/>
      <c r="T42" s="28"/>
      <c r="U42" s="28">
        <f>+U43+U44+U45+U70+U71+U72+U73</f>
        <v>119716</v>
      </c>
      <c r="V42" s="28">
        <f>+V43+V44+V45+V70+V71+V72+V73</f>
        <v>0</v>
      </c>
      <c r="W42" s="28"/>
      <c r="X42" s="28">
        <f>+X43+X44+X45+X70+X71+X72+X73</f>
        <v>232696.41</v>
      </c>
      <c r="Y42" s="28"/>
      <c r="Z42" s="28"/>
      <c r="AA42" s="28">
        <f>+AA43+AA44+AA45+AA70+AA71+AA72+AA73</f>
        <v>222696.41</v>
      </c>
      <c r="AB42" s="33"/>
      <c r="AC42" s="33"/>
      <c r="AD42" s="33"/>
      <c r="AE42" s="33"/>
    </row>
    <row r="43" spans="1:31" x14ac:dyDescent="0.25">
      <c r="A43" s="3">
        <v>1</v>
      </c>
      <c r="B43" s="3">
        <v>1</v>
      </c>
      <c r="C43" s="3">
        <v>2</v>
      </c>
      <c r="D43" s="3">
        <v>1</v>
      </c>
      <c r="E43" s="3"/>
      <c r="F43" s="3" t="s">
        <v>89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5"/>
      <c r="W43" s="5"/>
      <c r="X43" s="3"/>
      <c r="Y43" s="5"/>
      <c r="Z43" s="5"/>
      <c r="AA43" s="5"/>
      <c r="AB43" s="33"/>
      <c r="AC43" s="33"/>
      <c r="AD43" s="33"/>
      <c r="AE43" s="33"/>
    </row>
    <row r="44" spans="1:31" x14ac:dyDescent="0.25">
      <c r="A44" s="3">
        <v>1</v>
      </c>
      <c r="B44" s="3">
        <v>1</v>
      </c>
      <c r="C44" s="3">
        <v>2</v>
      </c>
      <c r="D44" s="3">
        <v>2</v>
      </c>
      <c r="E44" s="3"/>
      <c r="F44" s="3" t="s">
        <v>90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5"/>
      <c r="W44" s="5"/>
      <c r="X44" s="3"/>
      <c r="Y44" s="5"/>
      <c r="Z44" s="5"/>
      <c r="AA44" s="5"/>
      <c r="AB44" s="33"/>
      <c r="AC44" s="33"/>
      <c r="AD44" s="33"/>
      <c r="AE44" s="33"/>
    </row>
    <row r="45" spans="1:31" x14ac:dyDescent="0.25">
      <c r="A45" s="8">
        <v>1</v>
      </c>
      <c r="B45" s="8">
        <v>1</v>
      </c>
      <c r="C45" s="8">
        <v>2</v>
      </c>
      <c r="D45" s="8">
        <v>3</v>
      </c>
      <c r="E45" s="8"/>
      <c r="F45" s="8" t="s">
        <v>91</v>
      </c>
      <c r="G45" s="7">
        <f>SUM(G46:G69)</f>
        <v>15955</v>
      </c>
      <c r="H45" s="7">
        <f>SUM(H46:H69)</f>
        <v>14068</v>
      </c>
      <c r="I45" s="7">
        <f>SUM(I46:I69)</f>
        <v>1090</v>
      </c>
      <c r="J45" s="7">
        <f>SUM(J46:J69)</f>
        <v>1559</v>
      </c>
      <c r="K45" s="7">
        <f>SUM(K46:K69)</f>
        <v>0</v>
      </c>
      <c r="L45" s="7"/>
      <c r="M45" s="7">
        <f t="shared" ref="M45:V45" si="13">SUM(M46:M69)</f>
        <v>45636</v>
      </c>
      <c r="N45" s="7">
        <f t="shared" si="13"/>
        <v>99709</v>
      </c>
      <c r="O45" s="7">
        <f t="shared" si="13"/>
        <v>1071</v>
      </c>
      <c r="P45" s="7">
        <f t="shared" si="13"/>
        <v>2471</v>
      </c>
      <c r="Q45" s="7">
        <f t="shared" si="13"/>
        <v>2004</v>
      </c>
      <c r="R45" s="7">
        <f t="shared" si="13"/>
        <v>2000</v>
      </c>
      <c r="S45" s="7">
        <f t="shared" si="13"/>
        <v>60635</v>
      </c>
      <c r="T45" s="7">
        <f t="shared" si="13"/>
        <v>47483</v>
      </c>
      <c r="U45" s="7">
        <f t="shared" si="13"/>
        <v>115664</v>
      </c>
      <c r="V45" s="48">
        <f t="shared" si="13"/>
        <v>0</v>
      </c>
      <c r="W45" s="7"/>
      <c r="X45" s="7">
        <f>SUM(X46:X69)</f>
        <v>232696.41</v>
      </c>
      <c r="Y45" s="7"/>
      <c r="Z45" s="7"/>
      <c r="AA45" s="18">
        <f>SUM(AA46:AA69)</f>
        <v>222696.41</v>
      </c>
      <c r="AB45" s="33"/>
      <c r="AC45" s="33"/>
      <c r="AD45" s="33"/>
      <c r="AE45" s="33"/>
    </row>
    <row r="46" spans="1:31" x14ac:dyDescent="0.25">
      <c r="A46" s="3"/>
      <c r="B46" s="3"/>
      <c r="C46" s="3"/>
      <c r="D46" s="3"/>
      <c r="E46" s="3">
        <v>4</v>
      </c>
      <c r="F46" s="3" t="s">
        <v>454</v>
      </c>
      <c r="G46" s="16">
        <v>15841</v>
      </c>
      <c r="H46" s="16">
        <v>2501</v>
      </c>
      <c r="I46" s="16">
        <v>829</v>
      </c>
      <c r="J46" s="16"/>
      <c r="K46" s="16"/>
      <c r="L46" s="16">
        <f>1444+1204+5000+1</f>
        <v>7649</v>
      </c>
      <c r="M46" s="16">
        <f>150+234+3890</f>
        <v>4274</v>
      </c>
      <c r="N46" s="16">
        <f>SUM(H46:M46)</f>
        <v>15253</v>
      </c>
      <c r="O46" s="16"/>
      <c r="P46" s="16"/>
      <c r="Q46" s="16"/>
      <c r="R46" s="16"/>
      <c r="S46" s="16">
        <f>15000+6204+5616</f>
        <v>26820</v>
      </c>
      <c r="T46" s="16">
        <f>384+3890</f>
        <v>4274</v>
      </c>
      <c r="U46" s="16">
        <f>SUM(O46:T46)</f>
        <v>31094</v>
      </c>
      <c r="V46" s="5">
        <f>+G46+N46-U46</f>
        <v>0</v>
      </c>
      <c r="W46" s="5"/>
      <c r="X46" s="16">
        <v>26905.57</v>
      </c>
      <c r="Y46" s="5"/>
      <c r="Z46" s="5"/>
      <c r="AA46" s="5">
        <f t="shared" ref="AA46:AA69" si="14">+X46+Y46-Z46</f>
        <v>26905.57</v>
      </c>
      <c r="AB46" s="33"/>
      <c r="AC46" s="33"/>
      <c r="AD46" s="33"/>
      <c r="AE46" s="33"/>
    </row>
    <row r="47" spans="1:31" hidden="1" x14ac:dyDescent="0.25">
      <c r="A47" s="3"/>
      <c r="B47" s="3"/>
      <c r="C47" s="3"/>
      <c r="D47" s="3"/>
      <c r="E47" s="3">
        <v>7</v>
      </c>
      <c r="F47" s="3" t="s">
        <v>459</v>
      </c>
      <c r="G47" s="16"/>
      <c r="H47" s="16"/>
      <c r="I47" s="16"/>
      <c r="J47" s="16"/>
      <c r="K47" s="16"/>
      <c r="L47" s="16"/>
      <c r="M47" s="16"/>
      <c r="N47" s="16">
        <f t="shared" ref="N47:N69" si="15">SUM(H47:M47)</f>
        <v>0</v>
      </c>
      <c r="O47" s="16"/>
      <c r="P47" s="16"/>
      <c r="Q47" s="16"/>
      <c r="R47" s="16"/>
      <c r="S47" s="16"/>
      <c r="T47" s="16"/>
      <c r="U47" s="16">
        <f t="shared" ref="U47:U69" si="16">SUM(O47:T47)</f>
        <v>0</v>
      </c>
      <c r="V47" s="5">
        <f t="shared" ref="V47:V69" si="17">+G47+N47-U47</f>
        <v>0</v>
      </c>
      <c r="W47" s="5"/>
      <c r="X47" s="16">
        <v>0</v>
      </c>
      <c r="Y47" s="5"/>
      <c r="Z47" s="5"/>
      <c r="AA47" s="5">
        <f t="shared" si="14"/>
        <v>0</v>
      </c>
      <c r="AB47" s="33"/>
      <c r="AC47" s="33"/>
      <c r="AD47" s="33"/>
      <c r="AE47" s="33"/>
    </row>
    <row r="48" spans="1:31" x14ac:dyDescent="0.25">
      <c r="A48" s="3"/>
      <c r="B48" s="3"/>
      <c r="C48" s="3"/>
      <c r="D48" s="3"/>
      <c r="E48" s="3">
        <v>8</v>
      </c>
      <c r="F48" s="3" t="s">
        <v>455</v>
      </c>
      <c r="G48" s="16"/>
      <c r="H48" s="16">
        <v>10000</v>
      </c>
      <c r="I48" s="16"/>
      <c r="J48" s="16"/>
      <c r="K48" s="16"/>
      <c r="L48" s="16"/>
      <c r="M48" s="16"/>
      <c r="N48" s="16">
        <f t="shared" si="15"/>
        <v>10000</v>
      </c>
      <c r="O48" s="16">
        <v>1000</v>
      </c>
      <c r="P48" s="16">
        <v>2000</v>
      </c>
      <c r="Q48" s="16">
        <v>2000</v>
      </c>
      <c r="R48" s="16">
        <v>2000</v>
      </c>
      <c r="S48" s="16">
        <f>2000+1000</f>
        <v>3000</v>
      </c>
      <c r="T48" s="16"/>
      <c r="U48" s="16">
        <f t="shared" si="16"/>
        <v>10000</v>
      </c>
      <c r="V48" s="5">
        <f t="shared" si="17"/>
        <v>0</v>
      </c>
      <c r="W48" s="5"/>
      <c r="X48" s="16">
        <v>0</v>
      </c>
      <c r="Y48" s="5"/>
      <c r="Z48" s="5"/>
      <c r="AA48" s="5">
        <f t="shared" si="14"/>
        <v>0</v>
      </c>
      <c r="AB48" s="33"/>
      <c r="AC48" s="33"/>
      <c r="AD48" s="33"/>
      <c r="AE48" s="33"/>
    </row>
    <row r="49" spans="1:31" hidden="1" x14ac:dyDescent="0.25">
      <c r="A49" s="3"/>
      <c r="B49" s="3"/>
      <c r="C49" s="3"/>
      <c r="D49" s="3"/>
      <c r="E49" s="3">
        <v>9</v>
      </c>
      <c r="F49" s="3" t="s">
        <v>456</v>
      </c>
      <c r="G49" s="16"/>
      <c r="H49" s="16"/>
      <c r="I49" s="16"/>
      <c r="J49" s="16"/>
      <c r="K49" s="16"/>
      <c r="L49" s="16"/>
      <c r="M49" s="16"/>
      <c r="N49" s="16">
        <f t="shared" si="15"/>
        <v>0</v>
      </c>
      <c r="O49" s="16"/>
      <c r="P49" s="16"/>
      <c r="Q49" s="16"/>
      <c r="R49" s="16"/>
      <c r="S49" s="16"/>
      <c r="T49" s="16"/>
      <c r="U49" s="16">
        <f t="shared" si="16"/>
        <v>0</v>
      </c>
      <c r="V49" s="5">
        <f t="shared" si="17"/>
        <v>0</v>
      </c>
      <c r="W49" s="5"/>
      <c r="X49" s="16">
        <v>24800.02</v>
      </c>
      <c r="Y49" s="5"/>
      <c r="Z49" s="5"/>
      <c r="AA49" s="5">
        <f t="shared" si="14"/>
        <v>24800.02</v>
      </c>
      <c r="AB49" s="33"/>
      <c r="AC49" s="33"/>
      <c r="AD49" s="33"/>
      <c r="AE49" s="33"/>
    </row>
    <row r="50" spans="1:31" hidden="1" x14ac:dyDescent="0.25">
      <c r="A50" s="3"/>
      <c r="B50" s="3"/>
      <c r="C50" s="3"/>
      <c r="D50" s="3"/>
      <c r="E50" s="3">
        <v>12</v>
      </c>
      <c r="F50" s="3" t="s">
        <v>457</v>
      </c>
      <c r="G50" s="16"/>
      <c r="H50" s="16"/>
      <c r="I50" s="16"/>
      <c r="J50" s="16"/>
      <c r="K50" s="16"/>
      <c r="L50" s="16"/>
      <c r="M50" s="16"/>
      <c r="N50" s="16">
        <f t="shared" si="15"/>
        <v>0</v>
      </c>
      <c r="O50" s="16"/>
      <c r="P50" s="16"/>
      <c r="Q50" s="16"/>
      <c r="R50" s="16"/>
      <c r="S50" s="16"/>
      <c r="T50" s="16"/>
      <c r="U50" s="16">
        <f t="shared" si="16"/>
        <v>0</v>
      </c>
      <c r="V50" s="5">
        <f t="shared" si="17"/>
        <v>0</v>
      </c>
      <c r="W50" s="5"/>
      <c r="X50" s="16">
        <v>0</v>
      </c>
      <c r="Y50" s="5"/>
      <c r="Z50" s="5"/>
      <c r="AA50" s="5">
        <f t="shared" si="14"/>
        <v>0</v>
      </c>
      <c r="AB50" s="33"/>
      <c r="AC50" s="33"/>
      <c r="AD50" s="33"/>
      <c r="AE50" s="33"/>
    </row>
    <row r="51" spans="1:31" x14ac:dyDescent="0.25">
      <c r="A51" s="3"/>
      <c r="B51" s="3"/>
      <c r="C51" s="3"/>
      <c r="D51" s="3"/>
      <c r="E51" s="3">
        <v>14</v>
      </c>
      <c r="F51" s="3" t="s">
        <v>460</v>
      </c>
      <c r="G51" s="16"/>
      <c r="H51" s="16"/>
      <c r="I51" s="16"/>
      <c r="J51" s="16">
        <v>1500</v>
      </c>
      <c r="K51" s="16"/>
      <c r="L51" s="16"/>
      <c r="M51" s="16"/>
      <c r="N51" s="16">
        <f t="shared" si="15"/>
        <v>1500</v>
      </c>
      <c r="O51" s="16"/>
      <c r="P51" s="16"/>
      <c r="Q51" s="16"/>
      <c r="R51" s="16"/>
      <c r="S51" s="16">
        <v>1500</v>
      </c>
      <c r="T51" s="16"/>
      <c r="U51" s="16">
        <f t="shared" si="16"/>
        <v>1500</v>
      </c>
      <c r="V51" s="5">
        <f t="shared" si="17"/>
        <v>0</v>
      </c>
      <c r="W51" s="5"/>
      <c r="X51" s="16">
        <v>12000</v>
      </c>
      <c r="Y51" s="5"/>
      <c r="Z51" s="5"/>
      <c r="AA51" s="5">
        <f t="shared" si="14"/>
        <v>12000</v>
      </c>
      <c r="AB51" s="33"/>
      <c r="AC51" s="33"/>
      <c r="AD51" s="33"/>
      <c r="AE51" s="33"/>
    </row>
    <row r="52" spans="1:31" hidden="1" x14ac:dyDescent="0.25">
      <c r="A52" s="3"/>
      <c r="B52" s="3"/>
      <c r="C52" s="3"/>
      <c r="D52" s="3"/>
      <c r="E52" s="3">
        <v>16</v>
      </c>
      <c r="F52" s="3" t="s">
        <v>584</v>
      </c>
      <c r="G52" s="16"/>
      <c r="H52" s="16"/>
      <c r="I52" s="16"/>
      <c r="J52" s="16"/>
      <c r="K52" s="16"/>
      <c r="L52" s="16"/>
      <c r="M52" s="16"/>
      <c r="N52" s="16">
        <f t="shared" si="15"/>
        <v>0</v>
      </c>
      <c r="O52" s="16"/>
      <c r="P52" s="16"/>
      <c r="Q52" s="16"/>
      <c r="R52" s="16"/>
      <c r="S52" s="16"/>
      <c r="T52" s="16"/>
      <c r="U52" s="16">
        <f t="shared" si="16"/>
        <v>0</v>
      </c>
      <c r="V52" s="5">
        <f t="shared" si="17"/>
        <v>0</v>
      </c>
      <c r="W52" s="5"/>
      <c r="X52" s="16">
        <v>0</v>
      </c>
      <c r="Y52" s="5"/>
      <c r="Z52" s="5"/>
      <c r="AA52" s="5">
        <f t="shared" si="14"/>
        <v>0</v>
      </c>
      <c r="AB52" s="33"/>
      <c r="AC52" s="33"/>
      <c r="AD52" s="33"/>
      <c r="AE52" s="33"/>
    </row>
    <row r="53" spans="1:31" hidden="1" x14ac:dyDescent="0.25">
      <c r="A53" s="3"/>
      <c r="B53" s="3"/>
      <c r="C53" s="3"/>
      <c r="D53" s="3"/>
      <c r="E53" s="3">
        <v>17</v>
      </c>
      <c r="F53" s="3" t="s">
        <v>585</v>
      </c>
      <c r="G53" s="16"/>
      <c r="H53" s="16"/>
      <c r="I53" s="16"/>
      <c r="J53" s="16"/>
      <c r="K53" s="16"/>
      <c r="L53" s="16"/>
      <c r="M53" s="16"/>
      <c r="N53" s="16">
        <f t="shared" si="15"/>
        <v>0</v>
      </c>
      <c r="O53" s="16"/>
      <c r="P53" s="16"/>
      <c r="Q53" s="16"/>
      <c r="R53" s="16"/>
      <c r="S53" s="16"/>
      <c r="T53" s="16"/>
      <c r="U53" s="16">
        <f t="shared" si="16"/>
        <v>0</v>
      </c>
      <c r="V53" s="5">
        <f t="shared" si="17"/>
        <v>0</v>
      </c>
      <c r="W53" s="5"/>
      <c r="X53" s="16">
        <v>0</v>
      </c>
      <c r="Y53" s="5"/>
      <c r="Z53" s="5"/>
      <c r="AA53" s="5">
        <f t="shared" si="14"/>
        <v>0</v>
      </c>
      <c r="AB53" s="33"/>
      <c r="AC53" s="33"/>
      <c r="AD53" s="33"/>
      <c r="AE53" s="33"/>
    </row>
    <row r="54" spans="1:31" hidden="1" x14ac:dyDescent="0.25">
      <c r="A54" s="3"/>
      <c r="B54" s="3"/>
      <c r="C54" s="3"/>
      <c r="D54" s="3"/>
      <c r="E54" s="3">
        <v>19</v>
      </c>
      <c r="F54" s="3" t="s">
        <v>458</v>
      </c>
      <c r="G54" s="16"/>
      <c r="H54" s="16"/>
      <c r="I54" s="16"/>
      <c r="J54" s="16"/>
      <c r="K54" s="16"/>
      <c r="L54" s="16"/>
      <c r="M54" s="16"/>
      <c r="N54" s="16">
        <f t="shared" si="15"/>
        <v>0</v>
      </c>
      <c r="O54" s="16"/>
      <c r="P54" s="16"/>
      <c r="Q54" s="16"/>
      <c r="R54" s="16"/>
      <c r="S54" s="16"/>
      <c r="T54" s="16"/>
      <c r="U54" s="16">
        <f t="shared" si="16"/>
        <v>0</v>
      </c>
      <c r="V54" s="5">
        <f t="shared" si="17"/>
        <v>0</v>
      </c>
      <c r="W54" s="5"/>
      <c r="X54" s="16">
        <v>0</v>
      </c>
      <c r="Y54" s="5"/>
      <c r="Z54" s="5"/>
      <c r="AA54" s="5">
        <f t="shared" si="14"/>
        <v>0</v>
      </c>
      <c r="AB54" s="33"/>
      <c r="AC54" s="33"/>
      <c r="AD54" s="33"/>
      <c r="AE54" s="33"/>
    </row>
    <row r="55" spans="1:31" x14ac:dyDescent="0.25">
      <c r="A55" s="3"/>
      <c r="B55" s="3"/>
      <c r="C55" s="3"/>
      <c r="D55" s="3"/>
      <c r="E55" s="3">
        <v>22</v>
      </c>
      <c r="F55" s="3" t="s">
        <v>461</v>
      </c>
      <c r="G55" s="16"/>
      <c r="H55" s="16"/>
      <c r="I55" s="16"/>
      <c r="J55" s="16"/>
      <c r="K55" s="16"/>
      <c r="L55" s="16"/>
      <c r="M55" s="16">
        <v>3000</v>
      </c>
      <c r="N55" s="16">
        <f t="shared" si="15"/>
        <v>3000</v>
      </c>
      <c r="O55" s="16"/>
      <c r="P55" s="16"/>
      <c r="Q55" s="16"/>
      <c r="R55" s="16"/>
      <c r="S55" s="16"/>
      <c r="T55" s="16">
        <v>3000</v>
      </c>
      <c r="U55" s="16">
        <f t="shared" si="16"/>
        <v>3000</v>
      </c>
      <c r="V55" s="5">
        <f t="shared" si="17"/>
        <v>0</v>
      </c>
      <c r="W55" s="5"/>
      <c r="X55" s="16">
        <v>0</v>
      </c>
      <c r="Y55" s="5"/>
      <c r="Z55" s="5"/>
      <c r="AA55" s="5">
        <f t="shared" si="14"/>
        <v>0</v>
      </c>
      <c r="AB55" s="33"/>
      <c r="AC55" s="33"/>
      <c r="AD55" s="33"/>
      <c r="AE55" s="33"/>
    </row>
    <row r="56" spans="1:31" hidden="1" x14ac:dyDescent="0.25">
      <c r="A56" s="3"/>
      <c r="B56" s="3"/>
      <c r="C56" s="3"/>
      <c r="D56" s="3"/>
      <c r="E56" s="3">
        <v>24</v>
      </c>
      <c r="F56" s="3" t="s">
        <v>586</v>
      </c>
      <c r="G56" s="16"/>
      <c r="H56" s="16"/>
      <c r="I56" s="16"/>
      <c r="J56" s="16"/>
      <c r="K56" s="16"/>
      <c r="L56" s="16"/>
      <c r="M56" s="16"/>
      <c r="N56" s="16">
        <f t="shared" si="15"/>
        <v>0</v>
      </c>
      <c r="O56" s="16"/>
      <c r="P56" s="16"/>
      <c r="Q56" s="16"/>
      <c r="R56" s="16"/>
      <c r="S56" s="16"/>
      <c r="T56" s="16"/>
      <c r="U56" s="16">
        <f t="shared" si="16"/>
        <v>0</v>
      </c>
      <c r="V56" s="5">
        <f t="shared" si="17"/>
        <v>0</v>
      </c>
      <c r="W56" s="5"/>
      <c r="X56" s="16">
        <v>0</v>
      </c>
      <c r="Y56" s="5"/>
      <c r="Z56" s="5"/>
      <c r="AA56" s="5">
        <f t="shared" si="14"/>
        <v>0</v>
      </c>
      <c r="AB56" s="33"/>
      <c r="AC56" s="33"/>
      <c r="AD56" s="33"/>
      <c r="AE56" s="33"/>
    </row>
    <row r="57" spans="1:31" hidden="1" x14ac:dyDescent="0.25">
      <c r="A57" s="3"/>
      <c r="B57" s="3"/>
      <c r="C57" s="3"/>
      <c r="D57" s="3"/>
      <c r="E57" s="3">
        <v>25</v>
      </c>
      <c r="F57" s="3" t="s">
        <v>694</v>
      </c>
      <c r="G57" s="16"/>
      <c r="H57" s="16"/>
      <c r="I57" s="16"/>
      <c r="J57" s="16"/>
      <c r="K57" s="16"/>
      <c r="L57" s="16"/>
      <c r="M57" s="16"/>
      <c r="N57" s="16">
        <f t="shared" si="15"/>
        <v>0</v>
      </c>
      <c r="O57" s="16"/>
      <c r="P57" s="16"/>
      <c r="Q57" s="16"/>
      <c r="R57" s="16"/>
      <c r="S57" s="16"/>
      <c r="T57" s="16"/>
      <c r="U57" s="16">
        <f t="shared" si="16"/>
        <v>0</v>
      </c>
      <c r="V57" s="5">
        <f t="shared" si="17"/>
        <v>0</v>
      </c>
      <c r="W57" s="5"/>
      <c r="X57" s="16">
        <v>10000</v>
      </c>
      <c r="Y57" s="5"/>
      <c r="Z57" s="5"/>
      <c r="AA57" s="5"/>
      <c r="AB57" s="33"/>
      <c r="AC57" s="33"/>
      <c r="AD57" s="33"/>
      <c r="AE57" s="33"/>
    </row>
    <row r="58" spans="1:31" hidden="1" x14ac:dyDescent="0.25">
      <c r="A58" s="3"/>
      <c r="B58" s="3"/>
      <c r="C58" s="3"/>
      <c r="D58" s="3"/>
      <c r="E58" s="3">
        <v>26</v>
      </c>
      <c r="F58" s="3" t="s">
        <v>702</v>
      </c>
      <c r="G58" s="16"/>
      <c r="H58" s="16"/>
      <c r="I58" s="16"/>
      <c r="J58" s="16"/>
      <c r="K58" s="16"/>
      <c r="L58" s="16"/>
      <c r="M58" s="16"/>
      <c r="N58" s="16">
        <f t="shared" si="15"/>
        <v>0</v>
      </c>
      <c r="O58" s="16"/>
      <c r="P58" s="16"/>
      <c r="Q58" s="16"/>
      <c r="R58" s="16"/>
      <c r="S58" s="16"/>
      <c r="T58" s="16"/>
      <c r="U58" s="16">
        <f t="shared" si="16"/>
        <v>0</v>
      </c>
      <c r="V58" s="5">
        <f t="shared" si="17"/>
        <v>0</v>
      </c>
      <c r="W58" s="5"/>
      <c r="X58" s="16"/>
      <c r="Y58" s="5"/>
      <c r="Z58" s="5"/>
      <c r="AA58" s="5"/>
      <c r="AB58" s="33"/>
      <c r="AC58" s="33"/>
      <c r="AD58" s="33"/>
      <c r="AE58" s="33"/>
    </row>
    <row r="59" spans="1:31" x14ac:dyDescent="0.25">
      <c r="A59" s="3"/>
      <c r="B59" s="3"/>
      <c r="C59" s="3"/>
      <c r="D59" s="3"/>
      <c r="E59" s="3">
        <v>27</v>
      </c>
      <c r="F59" s="3" t="s">
        <v>1299</v>
      </c>
      <c r="G59" s="16"/>
      <c r="H59" s="16"/>
      <c r="I59" s="16"/>
      <c r="J59" s="16"/>
      <c r="K59" s="16"/>
      <c r="L59" s="16"/>
      <c r="M59" s="16">
        <v>3000</v>
      </c>
      <c r="N59" s="16">
        <f t="shared" si="15"/>
        <v>3000</v>
      </c>
      <c r="O59" s="16"/>
      <c r="P59" s="16"/>
      <c r="Q59" s="16"/>
      <c r="R59" s="16"/>
      <c r="S59" s="16"/>
      <c r="T59" s="16">
        <v>3000</v>
      </c>
      <c r="U59" s="16">
        <f t="shared" si="16"/>
        <v>3000</v>
      </c>
      <c r="V59" s="5">
        <f t="shared" si="17"/>
        <v>0</v>
      </c>
      <c r="W59" s="5"/>
      <c r="X59" s="16"/>
      <c r="Y59" s="5"/>
      <c r="Z59" s="5"/>
      <c r="AA59" s="5"/>
      <c r="AB59" s="33"/>
      <c r="AC59" s="33"/>
      <c r="AD59" s="33"/>
      <c r="AE59" s="33"/>
    </row>
    <row r="60" spans="1:31" x14ac:dyDescent="0.25">
      <c r="A60" s="3"/>
      <c r="B60" s="3"/>
      <c r="C60" s="3"/>
      <c r="D60" s="3"/>
      <c r="E60" s="3">
        <v>28</v>
      </c>
      <c r="F60" s="3" t="s">
        <v>704</v>
      </c>
      <c r="G60" s="16"/>
      <c r="H60" s="16"/>
      <c r="I60" s="16"/>
      <c r="J60" s="16"/>
      <c r="K60" s="16"/>
      <c r="L60" s="16"/>
      <c r="M60" s="16"/>
      <c r="N60" s="16">
        <f t="shared" si="15"/>
        <v>0</v>
      </c>
      <c r="O60" s="16"/>
      <c r="P60" s="16"/>
      <c r="Q60" s="16"/>
      <c r="R60" s="16"/>
      <c r="S60" s="16"/>
      <c r="T60" s="16"/>
      <c r="U60" s="16">
        <f t="shared" si="16"/>
        <v>0</v>
      </c>
      <c r="V60" s="5">
        <f t="shared" si="17"/>
        <v>0</v>
      </c>
      <c r="W60" s="5"/>
      <c r="X60" s="16"/>
      <c r="Y60" s="5"/>
      <c r="Z60" s="5"/>
      <c r="AA60" s="5"/>
      <c r="AB60" s="33"/>
      <c r="AC60" s="33"/>
      <c r="AD60" s="33"/>
      <c r="AE60" s="33"/>
    </row>
    <row r="61" spans="1:31" x14ac:dyDescent="0.25">
      <c r="A61" s="3"/>
      <c r="B61" s="3"/>
      <c r="C61" s="3"/>
      <c r="D61" s="3"/>
      <c r="E61" s="3">
        <v>29</v>
      </c>
      <c r="F61" s="3" t="s">
        <v>713</v>
      </c>
      <c r="G61" s="16">
        <v>36</v>
      </c>
      <c r="H61" s="16"/>
      <c r="I61" s="16"/>
      <c r="J61" s="16"/>
      <c r="K61" s="16"/>
      <c r="L61" s="16">
        <f>1018+3617</f>
        <v>4635</v>
      </c>
      <c r="M61" s="16">
        <f>1675+1912</f>
        <v>3587</v>
      </c>
      <c r="N61" s="16">
        <f t="shared" si="15"/>
        <v>8222</v>
      </c>
      <c r="O61" s="16"/>
      <c r="P61" s="16"/>
      <c r="Q61" s="16"/>
      <c r="R61" s="16"/>
      <c r="S61" s="16">
        <f>3617+1054</f>
        <v>4671</v>
      </c>
      <c r="T61" s="16">
        <f>1675+1912</f>
        <v>3587</v>
      </c>
      <c r="U61" s="16">
        <f t="shared" si="16"/>
        <v>8258</v>
      </c>
      <c r="V61" s="5">
        <f t="shared" si="17"/>
        <v>0</v>
      </c>
      <c r="W61" s="5"/>
      <c r="X61" s="16"/>
      <c r="Y61" s="5"/>
      <c r="Z61" s="5"/>
      <c r="AA61" s="5"/>
      <c r="AB61" s="33"/>
      <c r="AC61" s="33"/>
      <c r="AD61" s="33"/>
      <c r="AE61" s="33"/>
    </row>
    <row r="62" spans="1:31" x14ac:dyDescent="0.25">
      <c r="A62" s="3"/>
      <c r="B62" s="3"/>
      <c r="C62" s="3"/>
      <c r="D62" s="3"/>
      <c r="E62" s="3">
        <v>30</v>
      </c>
      <c r="F62" s="3" t="s">
        <v>711</v>
      </c>
      <c r="G62" s="16">
        <v>78</v>
      </c>
      <c r="H62" s="16">
        <v>1567</v>
      </c>
      <c r="I62" s="16"/>
      <c r="J62" s="16">
        <v>59</v>
      </c>
      <c r="K62" s="16"/>
      <c r="L62" s="16">
        <f>6748+4039</f>
        <v>10787</v>
      </c>
      <c r="M62" s="16">
        <f>5350+3562+1444</f>
        <v>10356</v>
      </c>
      <c r="N62" s="16">
        <f t="shared" si="15"/>
        <v>22769</v>
      </c>
      <c r="O62" s="16">
        <v>71</v>
      </c>
      <c r="P62" s="16">
        <v>210</v>
      </c>
      <c r="Q62" s="16">
        <v>4</v>
      </c>
      <c r="R62" s="16"/>
      <c r="S62" s="16">
        <f>6748+3611</f>
        <v>10359</v>
      </c>
      <c r="T62" s="16">
        <f>7196+3562+1444+1</f>
        <v>12203</v>
      </c>
      <c r="U62" s="16">
        <f t="shared" si="16"/>
        <v>22847</v>
      </c>
      <c r="V62" s="5">
        <f t="shared" si="17"/>
        <v>0</v>
      </c>
      <c r="W62" s="5"/>
      <c r="X62" s="16"/>
      <c r="Y62" s="5"/>
      <c r="Z62" s="5"/>
      <c r="AA62" s="5"/>
      <c r="AB62" s="33"/>
      <c r="AC62" s="33"/>
      <c r="AD62" s="33"/>
      <c r="AE62" s="33"/>
    </row>
    <row r="63" spans="1:31" x14ac:dyDescent="0.25">
      <c r="A63" s="3"/>
      <c r="B63" s="3"/>
      <c r="C63" s="3"/>
      <c r="D63" s="3"/>
      <c r="E63" s="3">
        <v>31</v>
      </c>
      <c r="F63" s="3" t="s">
        <v>841</v>
      </c>
      <c r="G63" s="16"/>
      <c r="H63" s="16"/>
      <c r="I63" s="16"/>
      <c r="J63" s="16"/>
      <c r="K63" s="16"/>
      <c r="L63" s="16">
        <v>492</v>
      </c>
      <c r="M63" s="16"/>
      <c r="N63" s="16">
        <f t="shared" si="15"/>
        <v>492</v>
      </c>
      <c r="O63" s="16"/>
      <c r="P63" s="16"/>
      <c r="Q63" s="16"/>
      <c r="R63" s="16"/>
      <c r="S63" s="16">
        <v>492</v>
      </c>
      <c r="T63" s="16"/>
      <c r="U63" s="16">
        <f t="shared" si="16"/>
        <v>492</v>
      </c>
      <c r="V63" s="5">
        <f t="shared" si="17"/>
        <v>0</v>
      </c>
      <c r="W63" s="5"/>
      <c r="X63" s="16"/>
      <c r="Y63" s="5"/>
      <c r="Z63" s="5"/>
      <c r="AA63" s="5"/>
      <c r="AB63" s="33"/>
      <c r="AC63" s="33"/>
      <c r="AD63" s="33"/>
      <c r="AE63" s="33"/>
    </row>
    <row r="64" spans="1:31" x14ac:dyDescent="0.25">
      <c r="A64" s="3"/>
      <c r="B64" s="3"/>
      <c r="C64" s="3"/>
      <c r="D64" s="3"/>
      <c r="E64" s="3">
        <v>32</v>
      </c>
      <c r="F64" s="3" t="s">
        <v>715</v>
      </c>
      <c r="G64" s="16"/>
      <c r="H64" s="16"/>
      <c r="I64" s="16"/>
      <c r="J64" s="16"/>
      <c r="K64" s="16"/>
      <c r="L64" s="16">
        <f>7740+4003</f>
        <v>11743</v>
      </c>
      <c r="M64" s="16">
        <f>17178+1698</f>
        <v>18876</v>
      </c>
      <c r="N64" s="16">
        <f t="shared" si="15"/>
        <v>30619</v>
      </c>
      <c r="O64" s="16"/>
      <c r="P64" s="16"/>
      <c r="Q64" s="16"/>
      <c r="R64" s="16"/>
      <c r="S64" s="16">
        <f>7740+4003</f>
        <v>11743</v>
      </c>
      <c r="T64" s="16">
        <f>17178+1698</f>
        <v>18876</v>
      </c>
      <c r="U64" s="16">
        <f t="shared" si="16"/>
        <v>30619</v>
      </c>
      <c r="V64" s="5">
        <f t="shared" si="17"/>
        <v>0</v>
      </c>
      <c r="W64" s="5"/>
      <c r="X64" s="16"/>
      <c r="Y64" s="5"/>
      <c r="Z64" s="5"/>
      <c r="AA64" s="5"/>
      <c r="AB64" s="33"/>
      <c r="AC64" s="33"/>
      <c r="AD64" s="33"/>
      <c r="AE64" s="33"/>
    </row>
    <row r="65" spans="1:31" x14ac:dyDescent="0.25">
      <c r="A65" s="3"/>
      <c r="B65" s="3"/>
      <c r="C65" s="3"/>
      <c r="D65" s="3"/>
      <c r="E65" s="3">
        <v>34</v>
      </c>
      <c r="F65" s="3" t="s">
        <v>837</v>
      </c>
      <c r="G65" s="16"/>
      <c r="H65" s="16"/>
      <c r="I65" s="16">
        <v>261</v>
      </c>
      <c r="J65" s="16"/>
      <c r="K65" s="16"/>
      <c r="L65" s="16">
        <v>2050</v>
      </c>
      <c r="M65" s="16">
        <v>2543</v>
      </c>
      <c r="N65" s="16">
        <f t="shared" si="15"/>
        <v>4854</v>
      </c>
      <c r="O65" s="16"/>
      <c r="P65" s="16">
        <v>261</v>
      </c>
      <c r="Q65" s="16"/>
      <c r="R65" s="16"/>
      <c r="S65" s="16">
        <f>1750+300</f>
        <v>2050</v>
      </c>
      <c r="T65" s="16">
        <v>2543</v>
      </c>
      <c r="U65" s="16">
        <f t="shared" si="16"/>
        <v>4854</v>
      </c>
      <c r="V65" s="5">
        <f t="shared" si="17"/>
        <v>0</v>
      </c>
      <c r="W65" s="5"/>
      <c r="X65" s="16"/>
      <c r="Y65" s="5"/>
      <c r="Z65" s="5"/>
      <c r="AA65" s="5"/>
      <c r="AB65" s="33"/>
      <c r="AC65" s="33"/>
      <c r="AD65" s="33"/>
      <c r="AE65" s="33"/>
    </row>
    <row r="66" spans="1:31" hidden="1" x14ac:dyDescent="0.25">
      <c r="A66" s="3"/>
      <c r="B66" s="3"/>
      <c r="C66" s="3"/>
      <c r="D66" s="3"/>
      <c r="E66" s="3" t="s">
        <v>462</v>
      </c>
      <c r="F66" s="3" t="s">
        <v>463</v>
      </c>
      <c r="G66" s="16"/>
      <c r="H66" s="16"/>
      <c r="I66" s="16"/>
      <c r="J66" s="16"/>
      <c r="K66" s="16"/>
      <c r="L66" s="16"/>
      <c r="M66" s="16"/>
      <c r="N66" s="16">
        <f t="shared" si="15"/>
        <v>0</v>
      </c>
      <c r="O66" s="16"/>
      <c r="P66" s="16"/>
      <c r="Q66" s="16"/>
      <c r="R66" s="16"/>
      <c r="S66" s="16"/>
      <c r="T66" s="16"/>
      <c r="U66" s="16">
        <f t="shared" si="16"/>
        <v>0</v>
      </c>
      <c r="V66" s="5">
        <f t="shared" si="17"/>
        <v>0</v>
      </c>
      <c r="W66" s="5"/>
      <c r="X66" s="16">
        <v>158990.82</v>
      </c>
      <c r="Y66" s="5"/>
      <c r="Z66" s="5"/>
      <c r="AA66" s="5">
        <f t="shared" si="14"/>
        <v>158990.82</v>
      </c>
      <c r="AB66" s="33"/>
      <c r="AC66" s="33"/>
      <c r="AD66" s="33"/>
      <c r="AE66" s="33"/>
    </row>
    <row r="67" spans="1:31" hidden="1" x14ac:dyDescent="0.25">
      <c r="A67" s="3"/>
      <c r="B67" s="3"/>
      <c r="C67" s="3"/>
      <c r="D67" s="3"/>
      <c r="E67" s="3" t="s">
        <v>464</v>
      </c>
      <c r="F67" s="3" t="s">
        <v>467</v>
      </c>
      <c r="G67" s="16"/>
      <c r="H67" s="16"/>
      <c r="I67" s="16"/>
      <c r="J67" s="16"/>
      <c r="K67" s="16"/>
      <c r="L67" s="16"/>
      <c r="M67" s="16"/>
      <c r="N67" s="16">
        <f t="shared" si="15"/>
        <v>0</v>
      </c>
      <c r="O67" s="16"/>
      <c r="P67" s="16"/>
      <c r="Q67" s="16"/>
      <c r="R67" s="16"/>
      <c r="S67" s="16"/>
      <c r="T67" s="16"/>
      <c r="U67" s="16">
        <f t="shared" si="16"/>
        <v>0</v>
      </c>
      <c r="V67" s="5">
        <f t="shared" si="17"/>
        <v>0</v>
      </c>
      <c r="W67" s="5"/>
      <c r="X67" s="16">
        <v>0</v>
      </c>
      <c r="Y67" s="5"/>
      <c r="Z67" s="5"/>
      <c r="AA67" s="5">
        <f t="shared" si="14"/>
        <v>0</v>
      </c>
      <c r="AB67" s="33"/>
      <c r="AC67" s="33"/>
      <c r="AD67" s="33"/>
      <c r="AE67" s="33"/>
    </row>
    <row r="68" spans="1:31" hidden="1" x14ac:dyDescent="0.25">
      <c r="A68" s="3"/>
      <c r="B68" s="3"/>
      <c r="C68" s="3"/>
      <c r="D68" s="3"/>
      <c r="E68" s="3" t="s">
        <v>587</v>
      </c>
      <c r="F68" s="3" t="s">
        <v>588</v>
      </c>
      <c r="G68" s="16"/>
      <c r="H68" s="16"/>
      <c r="I68" s="16"/>
      <c r="J68" s="16"/>
      <c r="K68" s="16"/>
      <c r="L68" s="16"/>
      <c r="M68" s="16"/>
      <c r="N68" s="16">
        <f t="shared" si="15"/>
        <v>0</v>
      </c>
      <c r="O68" s="16"/>
      <c r="P68" s="16"/>
      <c r="Q68" s="16"/>
      <c r="R68" s="16"/>
      <c r="S68" s="16"/>
      <c r="T68" s="16"/>
      <c r="U68" s="16">
        <f t="shared" si="16"/>
        <v>0</v>
      </c>
      <c r="V68" s="5">
        <f t="shared" si="17"/>
        <v>0</v>
      </c>
      <c r="W68" s="5"/>
      <c r="X68" s="16">
        <v>0</v>
      </c>
      <c r="Y68" s="5"/>
      <c r="Z68" s="5"/>
      <c r="AA68" s="5">
        <f t="shared" si="14"/>
        <v>0</v>
      </c>
      <c r="AB68" s="33"/>
      <c r="AC68" s="33"/>
      <c r="AD68" s="33"/>
      <c r="AE68" s="33"/>
    </row>
    <row r="69" spans="1:31" hidden="1" x14ac:dyDescent="0.25">
      <c r="A69" s="3"/>
      <c r="B69" s="3"/>
      <c r="C69" s="3"/>
      <c r="D69" s="3"/>
      <c r="E69" s="3" t="s">
        <v>465</v>
      </c>
      <c r="F69" s="3" t="s">
        <v>466</v>
      </c>
      <c r="G69" s="16"/>
      <c r="H69" s="16"/>
      <c r="I69" s="16"/>
      <c r="J69" s="16"/>
      <c r="K69" s="16"/>
      <c r="L69" s="16"/>
      <c r="M69" s="16"/>
      <c r="N69" s="16">
        <f t="shared" si="15"/>
        <v>0</v>
      </c>
      <c r="O69" s="16"/>
      <c r="P69" s="16"/>
      <c r="Q69" s="16"/>
      <c r="R69" s="16"/>
      <c r="S69" s="16"/>
      <c r="T69" s="16"/>
      <c r="U69" s="16">
        <f t="shared" si="16"/>
        <v>0</v>
      </c>
      <c r="V69" s="5">
        <f t="shared" si="17"/>
        <v>0</v>
      </c>
      <c r="W69" s="5"/>
      <c r="X69" s="16">
        <v>0</v>
      </c>
      <c r="Y69" s="5"/>
      <c r="Z69" s="5"/>
      <c r="AA69" s="5">
        <f t="shared" si="14"/>
        <v>0</v>
      </c>
      <c r="AB69" s="33"/>
      <c r="AC69" s="33"/>
      <c r="AD69" s="33"/>
      <c r="AE69" s="33"/>
    </row>
    <row r="70" spans="1:31" hidden="1" x14ac:dyDescent="0.25">
      <c r="A70" s="3">
        <v>1</v>
      </c>
      <c r="B70" s="3">
        <v>1</v>
      </c>
      <c r="C70" s="3">
        <v>2</v>
      </c>
      <c r="D70" s="3">
        <v>4</v>
      </c>
      <c r="E70" s="3"/>
      <c r="F70" s="3" t="s">
        <v>92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5"/>
      <c r="W70" s="5"/>
      <c r="X70" s="3"/>
      <c r="Y70" s="5"/>
      <c r="Z70" s="5"/>
      <c r="AA70" s="5"/>
      <c r="AB70" s="33"/>
      <c r="AC70" s="33"/>
      <c r="AD70" s="33"/>
      <c r="AE70" s="33"/>
    </row>
    <row r="71" spans="1:31" hidden="1" x14ac:dyDescent="0.25">
      <c r="A71" s="3">
        <v>1</v>
      </c>
      <c r="B71" s="3">
        <v>1</v>
      </c>
      <c r="C71" s="3">
        <v>2</v>
      </c>
      <c r="D71" s="3">
        <v>5</v>
      </c>
      <c r="E71" s="3"/>
      <c r="F71" s="3" t="s">
        <v>93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5"/>
      <c r="W71" s="5"/>
      <c r="X71" s="3"/>
      <c r="Y71" s="5"/>
      <c r="Z71" s="5"/>
      <c r="AA71" s="5"/>
      <c r="AB71" s="33"/>
      <c r="AC71" s="33"/>
      <c r="AD71" s="33"/>
      <c r="AE71" s="33"/>
    </row>
    <row r="72" spans="1:31" hidden="1" x14ac:dyDescent="0.25">
      <c r="A72" s="3">
        <v>1</v>
      </c>
      <c r="B72" s="3">
        <v>1</v>
      </c>
      <c r="C72" s="3">
        <v>2</v>
      </c>
      <c r="D72" s="3">
        <v>6</v>
      </c>
      <c r="E72" s="3"/>
      <c r="F72" s="3" t="s">
        <v>94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5"/>
      <c r="W72" s="5"/>
      <c r="X72" s="3"/>
      <c r="Y72" s="5"/>
      <c r="Z72" s="5"/>
      <c r="AA72" s="5"/>
      <c r="AB72" s="33"/>
      <c r="AC72" s="33"/>
      <c r="AD72" s="33"/>
      <c r="AE72" s="33"/>
    </row>
    <row r="73" spans="1:31" ht="24" x14ac:dyDescent="0.25">
      <c r="A73" s="8">
        <v>1</v>
      </c>
      <c r="B73" s="8">
        <v>1</v>
      </c>
      <c r="C73" s="8">
        <v>2</v>
      </c>
      <c r="D73" s="8">
        <v>9</v>
      </c>
      <c r="E73" s="8"/>
      <c r="F73" s="8" t="s">
        <v>95</v>
      </c>
      <c r="G73" s="17">
        <f t="shared" ref="G73:L73" si="18">G74</f>
        <v>0</v>
      </c>
      <c r="H73" s="17">
        <f t="shared" si="18"/>
        <v>1298</v>
      </c>
      <c r="I73" s="17">
        <f t="shared" si="18"/>
        <v>306</v>
      </c>
      <c r="J73" s="17">
        <f t="shared" si="18"/>
        <v>306</v>
      </c>
      <c r="K73" s="17">
        <f t="shared" si="18"/>
        <v>306</v>
      </c>
      <c r="L73" s="17">
        <f t="shared" si="18"/>
        <v>918</v>
      </c>
      <c r="M73" s="17"/>
      <c r="N73" s="17">
        <f t="shared" ref="N73:V73" si="19">N74</f>
        <v>4052</v>
      </c>
      <c r="O73" s="17">
        <f t="shared" si="19"/>
        <v>992</v>
      </c>
      <c r="P73" s="17">
        <f t="shared" si="19"/>
        <v>306</v>
      </c>
      <c r="Q73" s="17">
        <f t="shared" si="19"/>
        <v>306</v>
      </c>
      <c r="R73" s="17">
        <f t="shared" si="19"/>
        <v>0</v>
      </c>
      <c r="S73" s="17">
        <f t="shared" si="19"/>
        <v>1223</v>
      </c>
      <c r="T73" s="17">
        <f t="shared" si="19"/>
        <v>1225</v>
      </c>
      <c r="U73" s="17">
        <f t="shared" si="19"/>
        <v>4052</v>
      </c>
      <c r="V73" s="17">
        <f t="shared" si="19"/>
        <v>0</v>
      </c>
      <c r="W73" s="17"/>
      <c r="X73" s="17">
        <f>X74</f>
        <v>0</v>
      </c>
      <c r="Y73" s="17"/>
      <c r="Z73" s="17"/>
      <c r="AA73" s="17">
        <f t="shared" ref="AA73" si="20">AA74</f>
        <v>0</v>
      </c>
      <c r="AB73" s="33"/>
      <c r="AC73" s="33"/>
      <c r="AD73" s="33"/>
      <c r="AE73" s="33"/>
    </row>
    <row r="74" spans="1:31" x14ac:dyDescent="0.25">
      <c r="A74" s="14"/>
      <c r="B74" s="14"/>
      <c r="C74" s="14"/>
      <c r="D74" s="14"/>
      <c r="E74" s="14"/>
      <c r="F74" s="14" t="s">
        <v>676</v>
      </c>
      <c r="G74" s="26">
        <v>0</v>
      </c>
      <c r="H74" s="26">
        <v>1298</v>
      </c>
      <c r="I74" s="26">
        <v>306</v>
      </c>
      <c r="J74" s="26">
        <v>306</v>
      </c>
      <c r="K74" s="26">
        <v>306</v>
      </c>
      <c r="L74" s="26">
        <f>306+306+306</f>
        <v>918</v>
      </c>
      <c r="M74" s="26">
        <f>306+306+306</f>
        <v>918</v>
      </c>
      <c r="N74" s="16">
        <f>SUM(H74:M74)</f>
        <v>4052</v>
      </c>
      <c r="O74" s="26">
        <v>992</v>
      </c>
      <c r="P74" s="26">
        <v>306</v>
      </c>
      <c r="Q74" s="26">
        <v>306</v>
      </c>
      <c r="R74" s="26">
        <v>0</v>
      </c>
      <c r="S74" s="26">
        <f>611+306+306</f>
        <v>1223</v>
      </c>
      <c r="T74" s="26">
        <f>307+305+613</f>
        <v>1225</v>
      </c>
      <c r="U74" s="16">
        <f>SUM(O74:T74)</f>
        <v>4052</v>
      </c>
      <c r="V74" s="5">
        <f>+G74+N74-U74</f>
        <v>0</v>
      </c>
      <c r="W74" s="27"/>
      <c r="X74" s="26">
        <v>0</v>
      </c>
      <c r="Y74" s="27"/>
      <c r="Z74" s="27"/>
      <c r="AA74" s="27">
        <f>+X74+Y74-Z74</f>
        <v>0</v>
      </c>
      <c r="AB74" s="33"/>
      <c r="AC74" s="33"/>
      <c r="AD74" s="33"/>
      <c r="AE74" s="33"/>
    </row>
    <row r="75" spans="1:31" hidden="1" x14ac:dyDescent="0.25">
      <c r="A75" s="3">
        <v>1</v>
      </c>
      <c r="B75" s="3">
        <v>1</v>
      </c>
      <c r="C75" s="3">
        <v>3</v>
      </c>
      <c r="D75" s="3"/>
      <c r="E75" s="3"/>
      <c r="F75" s="4" t="s">
        <v>46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5"/>
      <c r="W75" s="5"/>
      <c r="X75" s="4"/>
      <c r="Y75" s="5"/>
      <c r="Z75" s="5"/>
      <c r="AA75" s="5"/>
      <c r="AB75" s="33"/>
      <c r="AC75" s="33"/>
      <c r="AD75" s="33"/>
      <c r="AE75" s="33"/>
    </row>
    <row r="76" spans="1:31" ht="24" hidden="1" x14ac:dyDescent="0.25">
      <c r="A76" s="3">
        <v>1</v>
      </c>
      <c r="B76" s="3">
        <v>1</v>
      </c>
      <c r="C76" s="3">
        <v>3</v>
      </c>
      <c r="D76" s="3">
        <v>1</v>
      </c>
      <c r="E76" s="3"/>
      <c r="F76" s="3" t="s">
        <v>96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5"/>
      <c r="W76" s="5"/>
      <c r="X76" s="3"/>
      <c r="Y76" s="5"/>
      <c r="Z76" s="5"/>
      <c r="AA76" s="5"/>
      <c r="AB76" s="33"/>
      <c r="AC76" s="33"/>
      <c r="AD76" s="33"/>
      <c r="AE76" s="33"/>
    </row>
    <row r="77" spans="1:31" ht="24" hidden="1" x14ac:dyDescent="0.25">
      <c r="A77" s="3">
        <v>1</v>
      </c>
      <c r="B77" s="3">
        <v>1</v>
      </c>
      <c r="C77" s="3">
        <v>3</v>
      </c>
      <c r="D77" s="3">
        <v>2</v>
      </c>
      <c r="E77" s="3"/>
      <c r="F77" s="3" t="s">
        <v>97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5"/>
      <c r="W77" s="5"/>
      <c r="X77" s="3"/>
      <c r="Y77" s="5"/>
      <c r="Z77" s="5"/>
      <c r="AA77" s="5"/>
      <c r="AB77" s="33"/>
      <c r="AC77" s="33"/>
      <c r="AD77" s="33"/>
      <c r="AE77" s="33"/>
    </row>
    <row r="78" spans="1:31" ht="24" hidden="1" x14ac:dyDescent="0.25">
      <c r="A78" s="3">
        <v>1</v>
      </c>
      <c r="B78" s="3">
        <v>1</v>
      </c>
      <c r="C78" s="3">
        <v>3</v>
      </c>
      <c r="D78" s="3">
        <v>3</v>
      </c>
      <c r="E78" s="3"/>
      <c r="F78" s="3" t="s">
        <v>98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5"/>
      <c r="W78" s="5"/>
      <c r="X78" s="3"/>
      <c r="Y78" s="5"/>
      <c r="Z78" s="5"/>
      <c r="AA78" s="5"/>
      <c r="AB78" s="33"/>
      <c r="AC78" s="33"/>
      <c r="AD78" s="33"/>
      <c r="AE78" s="33"/>
    </row>
    <row r="79" spans="1:31" ht="24" hidden="1" x14ac:dyDescent="0.25">
      <c r="A79" s="3">
        <v>1</v>
      </c>
      <c r="B79" s="3">
        <v>1</v>
      </c>
      <c r="C79" s="3">
        <v>3</v>
      </c>
      <c r="D79" s="3">
        <v>4</v>
      </c>
      <c r="E79" s="3"/>
      <c r="F79" s="3" t="s">
        <v>99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5"/>
      <c r="W79" s="5"/>
      <c r="X79" s="3"/>
      <c r="Y79" s="5"/>
      <c r="Z79" s="5"/>
      <c r="AA79" s="5"/>
      <c r="AB79" s="33"/>
      <c r="AC79" s="33"/>
      <c r="AD79" s="33"/>
      <c r="AE79" s="33"/>
    </row>
    <row r="80" spans="1:31" ht="24" hidden="1" x14ac:dyDescent="0.25">
      <c r="A80" s="3">
        <v>1</v>
      </c>
      <c r="B80" s="3">
        <v>1</v>
      </c>
      <c r="C80" s="3">
        <v>3</v>
      </c>
      <c r="D80" s="3">
        <v>9</v>
      </c>
      <c r="E80" s="3"/>
      <c r="F80" s="3" t="s">
        <v>100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5"/>
      <c r="W80" s="5"/>
      <c r="X80" s="3"/>
      <c r="Y80" s="5"/>
      <c r="Z80" s="5"/>
      <c r="AA80" s="5"/>
      <c r="AB80" s="33"/>
      <c r="AC80" s="33"/>
      <c r="AD80" s="33"/>
      <c r="AE80" s="33"/>
    </row>
    <row r="81" spans="1:31" hidden="1" x14ac:dyDescent="0.25">
      <c r="A81" s="3">
        <v>1</v>
      </c>
      <c r="B81" s="3">
        <v>1</v>
      </c>
      <c r="C81" s="3">
        <v>4</v>
      </c>
      <c r="D81" s="3"/>
      <c r="E81" s="3"/>
      <c r="F81" s="4" t="s">
        <v>101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5"/>
      <c r="W81" s="5"/>
      <c r="X81" s="4"/>
      <c r="Y81" s="5"/>
      <c r="Z81" s="5"/>
      <c r="AA81" s="5"/>
      <c r="AB81" s="33"/>
      <c r="AC81" s="33"/>
      <c r="AD81" s="33"/>
      <c r="AE81" s="33"/>
    </row>
    <row r="82" spans="1:31" hidden="1" x14ac:dyDescent="0.25">
      <c r="A82" s="3">
        <v>1</v>
      </c>
      <c r="B82" s="3">
        <v>1</v>
      </c>
      <c r="C82" s="3">
        <v>4</v>
      </c>
      <c r="D82" s="3">
        <v>1</v>
      </c>
      <c r="E82" s="3"/>
      <c r="F82" s="3" t="s">
        <v>102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5"/>
      <c r="W82" s="5"/>
      <c r="X82" s="3"/>
      <c r="Y82" s="5"/>
      <c r="Z82" s="5"/>
      <c r="AA82" s="5"/>
      <c r="AB82" s="33"/>
      <c r="AC82" s="33"/>
      <c r="AD82" s="33"/>
      <c r="AE82" s="33"/>
    </row>
    <row r="83" spans="1:31" hidden="1" x14ac:dyDescent="0.25">
      <c r="A83" s="3">
        <v>1</v>
      </c>
      <c r="B83" s="3">
        <v>1</v>
      </c>
      <c r="C83" s="3">
        <v>4</v>
      </c>
      <c r="D83" s="3">
        <v>2</v>
      </c>
      <c r="E83" s="3"/>
      <c r="F83" s="3" t="s">
        <v>103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5"/>
      <c r="W83" s="5"/>
      <c r="X83" s="3"/>
      <c r="Y83" s="5"/>
      <c r="Z83" s="5"/>
      <c r="AA83" s="5"/>
      <c r="AB83" s="33"/>
      <c r="AC83" s="33"/>
      <c r="AD83" s="33"/>
      <c r="AE83" s="33"/>
    </row>
    <row r="84" spans="1:31" hidden="1" x14ac:dyDescent="0.25">
      <c r="A84" s="3">
        <v>1</v>
      </c>
      <c r="B84" s="3">
        <v>1</v>
      </c>
      <c r="C84" s="3">
        <v>4</v>
      </c>
      <c r="D84" s="3">
        <v>3</v>
      </c>
      <c r="E84" s="3"/>
      <c r="F84" s="3" t="s">
        <v>104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5"/>
      <c r="W84" s="5"/>
      <c r="X84" s="3"/>
      <c r="Y84" s="5"/>
      <c r="Z84" s="5"/>
      <c r="AA84" s="5"/>
      <c r="AB84" s="33"/>
      <c r="AC84" s="33"/>
      <c r="AD84" s="33"/>
      <c r="AE84" s="33"/>
    </row>
    <row r="85" spans="1:31" ht="24" hidden="1" x14ac:dyDescent="0.25">
      <c r="A85" s="3">
        <v>1</v>
      </c>
      <c r="B85" s="3">
        <v>1</v>
      </c>
      <c r="C85" s="3">
        <v>4</v>
      </c>
      <c r="D85" s="3">
        <v>4</v>
      </c>
      <c r="E85" s="3"/>
      <c r="F85" s="3" t="s">
        <v>105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5"/>
      <c r="W85" s="5"/>
      <c r="X85" s="3"/>
      <c r="Y85" s="5"/>
      <c r="Z85" s="5"/>
      <c r="AA85" s="5"/>
      <c r="AB85" s="33"/>
      <c r="AC85" s="33"/>
      <c r="AD85" s="33"/>
      <c r="AE85" s="33"/>
    </row>
    <row r="86" spans="1:31" hidden="1" x14ac:dyDescent="0.25">
      <c r="A86" s="3">
        <v>1</v>
      </c>
      <c r="B86" s="3">
        <v>1</v>
      </c>
      <c r="C86" s="3">
        <v>4</v>
      </c>
      <c r="D86" s="3">
        <v>5</v>
      </c>
      <c r="E86" s="3"/>
      <c r="F86" s="3" t="s">
        <v>106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5"/>
      <c r="W86" s="5"/>
      <c r="X86" s="3"/>
      <c r="Y86" s="5"/>
      <c r="Z86" s="5"/>
      <c r="AA86" s="5"/>
      <c r="AB86" s="33"/>
      <c r="AC86" s="33"/>
      <c r="AD86" s="33"/>
      <c r="AE86" s="33"/>
    </row>
    <row r="87" spans="1:31" hidden="1" x14ac:dyDescent="0.25">
      <c r="A87" s="3">
        <v>1</v>
      </c>
      <c r="B87" s="3">
        <v>1</v>
      </c>
      <c r="C87" s="3">
        <v>5</v>
      </c>
      <c r="D87" s="3"/>
      <c r="E87" s="3"/>
      <c r="F87" s="4" t="s">
        <v>49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5"/>
      <c r="W87" s="5"/>
      <c r="X87" s="4"/>
      <c r="Y87" s="5"/>
      <c r="Z87" s="5"/>
      <c r="AA87" s="5"/>
      <c r="AB87" s="33"/>
      <c r="AC87" s="33"/>
      <c r="AD87" s="33"/>
      <c r="AE87" s="33"/>
    </row>
    <row r="88" spans="1:31" hidden="1" x14ac:dyDescent="0.25">
      <c r="A88" s="3">
        <v>1</v>
      </c>
      <c r="B88" s="3">
        <v>1</v>
      </c>
      <c r="C88" s="3">
        <v>5</v>
      </c>
      <c r="D88" s="3">
        <v>1</v>
      </c>
      <c r="E88" s="3"/>
      <c r="F88" s="3" t="s">
        <v>107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5"/>
      <c r="W88" s="5"/>
      <c r="X88" s="3"/>
      <c r="Y88" s="5"/>
      <c r="Z88" s="5"/>
      <c r="AA88" s="5"/>
      <c r="AB88" s="33"/>
      <c r="AC88" s="33"/>
      <c r="AD88" s="33"/>
      <c r="AE88" s="33"/>
    </row>
    <row r="89" spans="1:31" ht="24" hidden="1" x14ac:dyDescent="0.25">
      <c r="A89" s="3">
        <v>1</v>
      </c>
      <c r="B89" s="3">
        <v>1</v>
      </c>
      <c r="C89" s="3">
        <v>6</v>
      </c>
      <c r="D89" s="3"/>
      <c r="E89" s="3"/>
      <c r="F89" s="4" t="s">
        <v>51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5"/>
      <c r="W89" s="5"/>
      <c r="X89" s="4"/>
      <c r="Y89" s="5"/>
      <c r="Z89" s="5"/>
      <c r="AA89" s="5"/>
      <c r="AB89" s="33"/>
      <c r="AC89" s="33"/>
      <c r="AD89" s="33"/>
      <c r="AE89" s="33"/>
    </row>
    <row r="90" spans="1:31" ht="24" hidden="1" x14ac:dyDescent="0.25">
      <c r="A90" s="3">
        <v>1</v>
      </c>
      <c r="B90" s="3">
        <v>1</v>
      </c>
      <c r="C90" s="3">
        <v>6</v>
      </c>
      <c r="D90" s="3">
        <v>1</v>
      </c>
      <c r="E90" s="3"/>
      <c r="F90" s="3" t="s">
        <v>108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5"/>
      <c r="W90" s="5"/>
      <c r="X90" s="3"/>
      <c r="Y90" s="5"/>
      <c r="Z90" s="5"/>
      <c r="AA90" s="5"/>
      <c r="AB90" s="33"/>
      <c r="AC90" s="33"/>
      <c r="AD90" s="33"/>
      <c r="AE90" s="33"/>
    </row>
    <row r="91" spans="1:31" hidden="1" x14ac:dyDescent="0.25">
      <c r="A91" s="3">
        <v>1</v>
      </c>
      <c r="B91" s="3">
        <v>1</v>
      </c>
      <c r="C91" s="3">
        <v>6</v>
      </c>
      <c r="D91" s="3">
        <v>2</v>
      </c>
      <c r="E91" s="3"/>
      <c r="F91" s="3" t="s">
        <v>109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5"/>
      <c r="W91" s="5"/>
      <c r="X91" s="3"/>
      <c r="Y91" s="5"/>
      <c r="Z91" s="5"/>
      <c r="AA91" s="5"/>
      <c r="AB91" s="33"/>
      <c r="AC91" s="33"/>
      <c r="AD91" s="33"/>
      <c r="AE91" s="33"/>
    </row>
    <row r="92" spans="1:31" hidden="1" x14ac:dyDescent="0.25">
      <c r="A92" s="3">
        <v>1</v>
      </c>
      <c r="B92" s="3">
        <v>1</v>
      </c>
      <c r="C92" s="3">
        <v>9</v>
      </c>
      <c r="D92" s="3"/>
      <c r="E92" s="3"/>
      <c r="F92" s="4" t="s">
        <v>110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5"/>
      <c r="W92" s="5"/>
      <c r="X92" s="4"/>
      <c r="Y92" s="5"/>
      <c r="Z92" s="5"/>
      <c r="AA92" s="5"/>
      <c r="AB92" s="33"/>
      <c r="AC92" s="33"/>
      <c r="AD92" s="33"/>
      <c r="AE92" s="33"/>
    </row>
    <row r="93" spans="1:31" hidden="1" x14ac:dyDescent="0.25">
      <c r="A93" s="3">
        <v>1</v>
      </c>
      <c r="B93" s="3">
        <v>1</v>
      </c>
      <c r="C93" s="3">
        <v>9</v>
      </c>
      <c r="D93" s="3">
        <v>1</v>
      </c>
      <c r="E93" s="3"/>
      <c r="F93" s="3" t="s">
        <v>111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5"/>
      <c r="W93" s="5"/>
      <c r="X93" s="3"/>
      <c r="Y93" s="5"/>
      <c r="Z93" s="5"/>
      <c r="AA93" s="5"/>
      <c r="AB93" s="33"/>
      <c r="AC93" s="33"/>
      <c r="AD93" s="33"/>
      <c r="AE93" s="33"/>
    </row>
    <row r="94" spans="1:31" hidden="1" x14ac:dyDescent="0.25">
      <c r="A94" s="3">
        <v>1</v>
      </c>
      <c r="B94" s="3">
        <v>1</v>
      </c>
      <c r="C94" s="3">
        <v>9</v>
      </c>
      <c r="D94" s="3">
        <v>2</v>
      </c>
      <c r="E94" s="3"/>
      <c r="F94" s="3" t="s">
        <v>112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5"/>
      <c r="W94" s="5"/>
      <c r="X94" s="3"/>
      <c r="Y94" s="5"/>
      <c r="Z94" s="5"/>
      <c r="AA94" s="5"/>
      <c r="AB94" s="33"/>
      <c r="AC94" s="33"/>
      <c r="AD94" s="33"/>
      <c r="AE94" s="33"/>
    </row>
    <row r="95" spans="1:31" ht="24" hidden="1" x14ac:dyDescent="0.25">
      <c r="A95" s="3">
        <v>1</v>
      </c>
      <c r="B95" s="3">
        <v>1</v>
      </c>
      <c r="C95" s="3">
        <v>9</v>
      </c>
      <c r="D95" s="3">
        <v>3</v>
      </c>
      <c r="E95" s="3"/>
      <c r="F95" s="3" t="s">
        <v>113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5"/>
      <c r="W95" s="5"/>
      <c r="X95" s="3"/>
      <c r="Y95" s="5"/>
      <c r="Z95" s="5"/>
      <c r="AA95" s="5"/>
      <c r="AB95" s="33"/>
      <c r="AC95" s="33"/>
      <c r="AD95" s="33"/>
      <c r="AE95" s="33"/>
    </row>
    <row r="96" spans="1:31" x14ac:dyDescent="0.25">
      <c r="A96" s="12">
        <v>1</v>
      </c>
      <c r="B96" s="12">
        <v>2</v>
      </c>
      <c r="C96" s="12"/>
      <c r="D96" s="12"/>
      <c r="E96" s="12"/>
      <c r="F96" s="12" t="s">
        <v>114</v>
      </c>
      <c r="G96" s="29">
        <f>+G97+G102+G108+G118+G218+G229+G235+G243+G249</f>
        <v>3401308.94</v>
      </c>
      <c r="H96" s="29">
        <f>+H97+H102+H108+H118+H218+H229+H235+H243+H249</f>
        <v>0</v>
      </c>
      <c r="I96" s="29">
        <f>+I97+I102+I108+I118+I218+I229+I235+I243+I249</f>
        <v>0</v>
      </c>
      <c r="J96" s="29">
        <f>+J97+J102+J108+J118+J218+J229+J235+J243+J249</f>
        <v>0</v>
      </c>
      <c r="K96" s="29">
        <f>+K97+K102+K108+K118+K218+K229+K235+K243+K249</f>
        <v>0</v>
      </c>
      <c r="L96" s="29"/>
      <c r="M96" s="29"/>
      <c r="N96" s="29">
        <f>+N97+N102+N108+N118+N218+N229+N235+N243+N249</f>
        <v>849660</v>
      </c>
      <c r="O96" s="29">
        <f>+O97+O102+O108+O118+O218+O229+O235+O243+O249</f>
        <v>181998.5</v>
      </c>
      <c r="P96" s="29">
        <f>+P97+P102+P108+P118+P218+P229+P235+P243+P249</f>
        <v>0</v>
      </c>
      <c r="Q96" s="29">
        <f>+Q97+Q102+Q108+Q118+Q218+Q229+Q235+Q243+Q249</f>
        <v>0</v>
      </c>
      <c r="R96" s="29">
        <f>+R97+R102+R108+R118+R218+R229+R235+R243+R249</f>
        <v>0</v>
      </c>
      <c r="S96" s="29"/>
      <c r="T96" s="29"/>
      <c r="U96" s="29">
        <f>+U97+U102+U108+U118+U218+U229+U235+U243+U249</f>
        <v>910728.5</v>
      </c>
      <c r="V96" s="29">
        <f>+V97+V102+V108+V118+V218+V229+V235+V243+V249</f>
        <v>3340239.44</v>
      </c>
      <c r="W96" s="29"/>
      <c r="X96" s="29">
        <f>+X97+X102+X108+X118+X218+X229+X235+X243+X249</f>
        <v>3266716.94</v>
      </c>
      <c r="Y96" s="29"/>
      <c r="Z96" s="29"/>
      <c r="AA96" s="29">
        <f>+AA97+AA102+AA108+AA118+AA218+AA229+AA235+AA243+AA249</f>
        <v>3127016.94</v>
      </c>
      <c r="AB96" s="33"/>
      <c r="AC96" s="33"/>
      <c r="AD96" s="33"/>
      <c r="AE96" s="33"/>
    </row>
    <row r="97" spans="1:31" hidden="1" x14ac:dyDescent="0.25">
      <c r="A97" s="3">
        <v>1</v>
      </c>
      <c r="B97" s="3">
        <v>2</v>
      </c>
      <c r="C97" s="3">
        <v>1</v>
      </c>
      <c r="D97" s="3"/>
      <c r="E97" s="3"/>
      <c r="F97" s="4" t="s">
        <v>57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5"/>
      <c r="W97" s="5"/>
      <c r="X97" s="4"/>
      <c r="Y97" s="5"/>
      <c r="Z97" s="5"/>
      <c r="AA97" s="5"/>
      <c r="AB97" s="33"/>
      <c r="AC97" s="33"/>
      <c r="AD97" s="33"/>
      <c r="AE97" s="33"/>
    </row>
    <row r="98" spans="1:31" hidden="1" x14ac:dyDescent="0.25">
      <c r="A98" s="3">
        <v>1</v>
      </c>
      <c r="B98" s="3">
        <v>2</v>
      </c>
      <c r="C98" s="3">
        <v>1</v>
      </c>
      <c r="D98" s="3">
        <v>1</v>
      </c>
      <c r="E98" s="3"/>
      <c r="F98" s="3" t="s">
        <v>115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5"/>
      <c r="W98" s="5"/>
      <c r="X98" s="3"/>
      <c r="Y98" s="5"/>
      <c r="Z98" s="5"/>
      <c r="AA98" s="5"/>
      <c r="AB98" s="33"/>
      <c r="AC98" s="33"/>
      <c r="AD98" s="33"/>
      <c r="AE98" s="33"/>
    </row>
    <row r="99" spans="1:31" hidden="1" x14ac:dyDescent="0.25">
      <c r="A99" s="3">
        <v>1</v>
      </c>
      <c r="B99" s="3">
        <v>2</v>
      </c>
      <c r="C99" s="3">
        <v>1</v>
      </c>
      <c r="D99" s="3">
        <v>2</v>
      </c>
      <c r="E99" s="3"/>
      <c r="F99" s="3" t="s">
        <v>116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5"/>
      <c r="W99" s="5"/>
      <c r="X99" s="3"/>
      <c r="Y99" s="5"/>
      <c r="Z99" s="5"/>
      <c r="AA99" s="5"/>
      <c r="AB99" s="33"/>
      <c r="AC99" s="33"/>
      <c r="AD99" s="33"/>
      <c r="AE99" s="33"/>
    </row>
    <row r="100" spans="1:31" hidden="1" x14ac:dyDescent="0.25">
      <c r="A100" s="3">
        <v>1</v>
      </c>
      <c r="B100" s="3">
        <v>2</v>
      </c>
      <c r="C100" s="3">
        <v>1</v>
      </c>
      <c r="D100" s="3">
        <v>3</v>
      </c>
      <c r="E100" s="3"/>
      <c r="F100" s="3" t="s">
        <v>117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5"/>
      <c r="W100" s="5"/>
      <c r="X100" s="3"/>
      <c r="Y100" s="5"/>
      <c r="Z100" s="5"/>
      <c r="AA100" s="5"/>
      <c r="AB100" s="33"/>
      <c r="AC100" s="33"/>
      <c r="AD100" s="33"/>
      <c r="AE100" s="33"/>
    </row>
    <row r="101" spans="1:31" hidden="1" x14ac:dyDescent="0.25">
      <c r="A101" s="3">
        <v>1</v>
      </c>
      <c r="B101" s="3">
        <v>2</v>
      </c>
      <c r="C101" s="3">
        <v>1</v>
      </c>
      <c r="D101" s="3">
        <v>4</v>
      </c>
      <c r="E101" s="3"/>
      <c r="F101" s="3" t="s">
        <v>118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5"/>
      <c r="W101" s="5"/>
      <c r="X101" s="3"/>
      <c r="Y101" s="5"/>
      <c r="Z101" s="5"/>
      <c r="AA101" s="5"/>
      <c r="AB101" s="33"/>
      <c r="AC101" s="33"/>
      <c r="AD101" s="33"/>
      <c r="AE101" s="33"/>
    </row>
    <row r="102" spans="1:31" ht="24" hidden="1" x14ac:dyDescent="0.25">
      <c r="A102" s="3">
        <v>1</v>
      </c>
      <c r="B102" s="3">
        <v>2</v>
      </c>
      <c r="C102" s="3">
        <v>2</v>
      </c>
      <c r="D102" s="3"/>
      <c r="E102" s="3"/>
      <c r="F102" s="4" t="s">
        <v>59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5"/>
      <c r="W102" s="5"/>
      <c r="X102" s="4"/>
      <c r="Y102" s="5"/>
      <c r="Z102" s="5"/>
      <c r="AA102" s="5"/>
      <c r="AB102" s="33"/>
      <c r="AC102" s="33"/>
      <c r="AD102" s="33"/>
      <c r="AE102" s="33"/>
    </row>
    <row r="103" spans="1:31" hidden="1" x14ac:dyDescent="0.25">
      <c r="A103" s="3">
        <v>1</v>
      </c>
      <c r="B103" s="3">
        <v>2</v>
      </c>
      <c r="C103" s="3">
        <v>2</v>
      </c>
      <c r="D103" s="3">
        <v>1</v>
      </c>
      <c r="E103" s="3"/>
      <c r="F103" s="3" t="s">
        <v>119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5"/>
      <c r="W103" s="5"/>
      <c r="X103" s="3"/>
      <c r="Y103" s="5"/>
      <c r="Z103" s="5"/>
      <c r="AA103" s="5"/>
      <c r="AB103" s="33"/>
      <c r="AC103" s="33"/>
      <c r="AD103" s="33"/>
      <c r="AE103" s="33"/>
    </row>
    <row r="104" spans="1:31" hidden="1" x14ac:dyDescent="0.25">
      <c r="A104" s="3">
        <v>1</v>
      </c>
      <c r="B104" s="3">
        <v>2</v>
      </c>
      <c r="C104" s="3">
        <v>2</v>
      </c>
      <c r="D104" s="3">
        <v>2</v>
      </c>
      <c r="E104" s="3"/>
      <c r="F104" s="3" t="s">
        <v>120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5"/>
      <c r="W104" s="5"/>
      <c r="X104" s="3"/>
      <c r="Y104" s="5"/>
      <c r="Z104" s="5"/>
      <c r="AA104" s="5"/>
      <c r="AB104" s="33"/>
      <c r="AC104" s="33"/>
      <c r="AD104" s="33"/>
      <c r="AE104" s="33"/>
    </row>
    <row r="105" spans="1:31" hidden="1" x14ac:dyDescent="0.25">
      <c r="A105" s="3">
        <v>1</v>
      </c>
      <c r="B105" s="3">
        <v>2</v>
      </c>
      <c r="C105" s="3">
        <v>2</v>
      </c>
      <c r="D105" s="3">
        <v>3</v>
      </c>
      <c r="E105" s="3"/>
      <c r="F105" s="3" t="s">
        <v>121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5"/>
      <c r="W105" s="5"/>
      <c r="X105" s="3"/>
      <c r="Y105" s="5"/>
      <c r="Z105" s="5"/>
      <c r="AA105" s="5"/>
      <c r="AB105" s="33"/>
      <c r="AC105" s="33"/>
      <c r="AD105" s="33"/>
      <c r="AE105" s="33"/>
    </row>
    <row r="106" spans="1:31" hidden="1" x14ac:dyDescent="0.25">
      <c r="A106" s="3">
        <v>1</v>
      </c>
      <c r="B106" s="3">
        <v>2</v>
      </c>
      <c r="C106" s="3">
        <v>2</v>
      </c>
      <c r="D106" s="3">
        <v>4</v>
      </c>
      <c r="E106" s="3"/>
      <c r="F106" s="3" t="s">
        <v>122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5"/>
      <c r="W106" s="5"/>
      <c r="X106" s="3"/>
      <c r="Y106" s="5"/>
      <c r="Z106" s="5"/>
      <c r="AA106" s="5"/>
      <c r="AB106" s="33"/>
      <c r="AC106" s="33"/>
      <c r="AD106" s="33"/>
      <c r="AE106" s="33"/>
    </row>
    <row r="107" spans="1:31" ht="24" hidden="1" x14ac:dyDescent="0.25">
      <c r="A107" s="3">
        <v>1</v>
      </c>
      <c r="B107" s="3">
        <v>2</v>
      </c>
      <c r="C107" s="3">
        <v>2</v>
      </c>
      <c r="D107" s="3">
        <v>9</v>
      </c>
      <c r="E107" s="3"/>
      <c r="F107" s="3" t="s">
        <v>123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5"/>
      <c r="W107" s="5"/>
      <c r="X107" s="3"/>
      <c r="Y107" s="5"/>
      <c r="Z107" s="5"/>
      <c r="AA107" s="5"/>
      <c r="AB107" s="33"/>
      <c r="AC107" s="33"/>
      <c r="AD107" s="33"/>
      <c r="AE107" s="33"/>
    </row>
    <row r="108" spans="1:31" ht="24" x14ac:dyDescent="0.25">
      <c r="A108" s="8">
        <v>1</v>
      </c>
      <c r="B108" s="8">
        <v>2</v>
      </c>
      <c r="C108" s="8">
        <v>3</v>
      </c>
      <c r="D108" s="8"/>
      <c r="E108" s="8"/>
      <c r="F108" s="11" t="s">
        <v>61</v>
      </c>
      <c r="G108" s="7">
        <f>+G109+G110+G111+G114+G115+G116+G117</f>
        <v>867420.59</v>
      </c>
      <c r="H108" s="7">
        <f>+H109+H110+H111+H114+H115+H116+H117</f>
        <v>0</v>
      </c>
      <c r="I108" s="7">
        <f>+I109+I110+I111+I114+I115+I116+I117</f>
        <v>0</v>
      </c>
      <c r="J108" s="7">
        <f>+J109+J110+J111+J114+J115+J116+J117</f>
        <v>0</v>
      </c>
      <c r="K108" s="7">
        <f>+K109+K110+K111+K114+K115+K116+K117</f>
        <v>0</v>
      </c>
      <c r="L108" s="7"/>
      <c r="M108" s="7"/>
      <c r="N108" s="7">
        <f>+N109+N110+N111+N114+N115+N116+N117</f>
        <v>0</v>
      </c>
      <c r="O108" s="7">
        <f>+O109+O110+O111+O114+O115+O116+O117</f>
        <v>0</v>
      </c>
      <c r="P108" s="7">
        <f>+P109+P110+P111+P114+P115+P116+P117</f>
        <v>0</v>
      </c>
      <c r="Q108" s="7">
        <f>+Q109+Q110+Q111+Q114+Q115+Q116+Q117</f>
        <v>0</v>
      </c>
      <c r="R108" s="7">
        <f>+R109+R110+R111+R114+R115+R116+R117</f>
        <v>0</v>
      </c>
      <c r="S108" s="7"/>
      <c r="T108" s="7"/>
      <c r="U108" s="7">
        <f>+U109+U110+U111+U114+U115+U116+U117</f>
        <v>0</v>
      </c>
      <c r="V108" s="7">
        <f>+V109+V110+V111+V114+V115+V116+V117</f>
        <v>867420.59</v>
      </c>
      <c r="W108" s="7"/>
      <c r="X108" s="7">
        <f>+X109+X110+X111+X114+X115+X116+X117</f>
        <v>867420.59</v>
      </c>
      <c r="Y108" s="7"/>
      <c r="Z108" s="7"/>
      <c r="AA108" s="7">
        <f>+AA109+AA110+AA111+AA114+AA115+AA116+AA117</f>
        <v>867420.59</v>
      </c>
      <c r="AB108" s="33"/>
      <c r="AC108" s="33"/>
      <c r="AD108" s="33"/>
      <c r="AE108" s="33"/>
    </row>
    <row r="109" spans="1:31" x14ac:dyDescent="0.25">
      <c r="A109" s="3">
        <v>1</v>
      </c>
      <c r="B109" s="3">
        <v>2</v>
      </c>
      <c r="C109" s="3">
        <v>3</v>
      </c>
      <c r="D109" s="3">
        <v>1</v>
      </c>
      <c r="E109" s="3"/>
      <c r="F109" s="3" t="s">
        <v>124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5"/>
      <c r="W109" s="5"/>
      <c r="X109" s="3"/>
      <c r="Y109" s="5"/>
      <c r="Z109" s="5"/>
      <c r="AA109" s="5"/>
      <c r="AB109" s="33"/>
      <c r="AC109" s="33"/>
      <c r="AD109" s="33"/>
      <c r="AE109" s="33"/>
    </row>
    <row r="110" spans="1:31" x14ac:dyDescent="0.25">
      <c r="A110" s="3">
        <v>1</v>
      </c>
      <c r="B110" s="3">
        <v>2</v>
      </c>
      <c r="C110" s="3">
        <v>3</v>
      </c>
      <c r="D110" s="3">
        <v>2</v>
      </c>
      <c r="E110" s="3"/>
      <c r="F110" s="3" t="s">
        <v>125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5"/>
      <c r="W110" s="5"/>
      <c r="X110" s="3"/>
      <c r="Y110" s="5"/>
      <c r="Z110" s="5"/>
      <c r="AA110" s="5"/>
      <c r="AB110" s="33"/>
      <c r="AC110" s="33"/>
      <c r="AD110" s="33"/>
      <c r="AE110" s="33"/>
    </row>
    <row r="111" spans="1:31" x14ac:dyDescent="0.25">
      <c r="A111" s="3">
        <v>1</v>
      </c>
      <c r="B111" s="3">
        <v>2</v>
      </c>
      <c r="C111" s="3">
        <v>3</v>
      </c>
      <c r="D111" s="3">
        <v>3</v>
      </c>
      <c r="E111" s="3"/>
      <c r="F111" s="3" t="s">
        <v>126</v>
      </c>
      <c r="G111" s="10">
        <f>+G112+G113</f>
        <v>867420.59</v>
      </c>
      <c r="H111" s="10">
        <f t="shared" ref="H111:K113" si="21">+H112+H113</f>
        <v>0</v>
      </c>
      <c r="I111" s="10">
        <f t="shared" si="21"/>
        <v>0</v>
      </c>
      <c r="J111" s="10">
        <f t="shared" si="21"/>
        <v>0</v>
      </c>
      <c r="K111" s="10">
        <f t="shared" si="21"/>
        <v>0</v>
      </c>
      <c r="L111" s="10"/>
      <c r="M111" s="10"/>
      <c r="N111" s="10">
        <f>+N112+N113</f>
        <v>0</v>
      </c>
      <c r="O111" s="10">
        <f t="shared" ref="O111:R113" si="22">+O112+O113</f>
        <v>0</v>
      </c>
      <c r="P111" s="10">
        <f t="shared" si="22"/>
        <v>0</v>
      </c>
      <c r="Q111" s="10">
        <f t="shared" si="22"/>
        <v>0</v>
      </c>
      <c r="R111" s="10">
        <f t="shared" si="22"/>
        <v>0</v>
      </c>
      <c r="S111" s="10"/>
      <c r="T111" s="10"/>
      <c r="U111" s="10">
        <f>+U112+U113</f>
        <v>0</v>
      </c>
      <c r="V111" s="10">
        <f>+V112+V113</f>
        <v>867420.59</v>
      </c>
      <c r="W111" s="10"/>
      <c r="X111" s="10">
        <f>+X112+X113</f>
        <v>867420.59</v>
      </c>
      <c r="Y111" s="10"/>
      <c r="Z111" s="10"/>
      <c r="AA111" s="10">
        <f>+AA112+AA113</f>
        <v>867420.59</v>
      </c>
      <c r="AB111" s="33"/>
      <c r="AC111" s="33"/>
      <c r="AD111" s="33"/>
      <c r="AE111" s="33"/>
    </row>
    <row r="112" spans="1:31" x14ac:dyDescent="0.25">
      <c r="A112" s="3"/>
      <c r="B112" s="3"/>
      <c r="C112" s="3"/>
      <c r="D112" s="3"/>
      <c r="E112" s="3"/>
      <c r="F112" s="36" t="s">
        <v>543</v>
      </c>
      <c r="G112" s="37">
        <v>236544.33</v>
      </c>
      <c r="H112" s="5">
        <f t="shared" si="21"/>
        <v>0</v>
      </c>
      <c r="I112" s="5">
        <f t="shared" si="21"/>
        <v>0</v>
      </c>
      <c r="J112" s="5">
        <f t="shared" si="21"/>
        <v>0</v>
      </c>
      <c r="K112" s="5">
        <f t="shared" si="21"/>
        <v>0</v>
      </c>
      <c r="L112" s="5"/>
      <c r="M112" s="5"/>
      <c r="N112" s="5">
        <f>+N113+N114</f>
        <v>0</v>
      </c>
      <c r="O112" s="5">
        <f t="shared" si="22"/>
        <v>0</v>
      </c>
      <c r="P112" s="5">
        <f t="shared" si="22"/>
        <v>0</v>
      </c>
      <c r="Q112" s="5">
        <f t="shared" si="22"/>
        <v>0</v>
      </c>
      <c r="R112" s="5">
        <f t="shared" si="22"/>
        <v>0</v>
      </c>
      <c r="S112" s="5"/>
      <c r="T112" s="5"/>
      <c r="U112" s="5">
        <f>+U113+U114</f>
        <v>0</v>
      </c>
      <c r="V112" s="37">
        <f>+G112+N112-U112</f>
        <v>236544.33</v>
      </c>
      <c r="W112" s="37"/>
      <c r="X112" s="37">
        <v>236544.33</v>
      </c>
      <c r="Y112" s="37"/>
      <c r="Z112" s="37"/>
      <c r="AA112" s="37">
        <f>+X112+Y112-Z112</f>
        <v>236544.33</v>
      </c>
      <c r="AB112" s="33"/>
      <c r="AC112" s="50"/>
      <c r="AD112" s="33"/>
      <c r="AE112" s="33"/>
    </row>
    <row r="113" spans="1:31" x14ac:dyDescent="0.25">
      <c r="A113" s="3"/>
      <c r="B113" s="3"/>
      <c r="C113" s="3"/>
      <c r="D113" s="3"/>
      <c r="E113" s="3"/>
      <c r="F113" s="36" t="s">
        <v>544</v>
      </c>
      <c r="G113" s="37">
        <v>630876.26</v>
      </c>
      <c r="H113" s="5">
        <f t="shared" si="21"/>
        <v>0</v>
      </c>
      <c r="I113" s="5">
        <f t="shared" si="21"/>
        <v>0</v>
      </c>
      <c r="J113" s="5">
        <f t="shared" si="21"/>
        <v>0</v>
      </c>
      <c r="K113" s="5">
        <f t="shared" si="21"/>
        <v>0</v>
      </c>
      <c r="L113" s="5"/>
      <c r="M113" s="5"/>
      <c r="N113" s="5">
        <f>+N114+N115</f>
        <v>0</v>
      </c>
      <c r="O113" s="5">
        <f t="shared" si="22"/>
        <v>0</v>
      </c>
      <c r="P113" s="5">
        <f t="shared" si="22"/>
        <v>0</v>
      </c>
      <c r="Q113" s="5">
        <f t="shared" si="22"/>
        <v>0</v>
      </c>
      <c r="R113" s="5">
        <f t="shared" si="22"/>
        <v>0</v>
      </c>
      <c r="S113" s="5"/>
      <c r="T113" s="5"/>
      <c r="U113" s="5">
        <f>+U114+U115</f>
        <v>0</v>
      </c>
      <c r="V113" s="37">
        <f>+G113+N113-U113</f>
        <v>630876.26</v>
      </c>
      <c r="W113" s="37"/>
      <c r="X113" s="37">
        <v>630876.26</v>
      </c>
      <c r="Y113" s="37"/>
      <c r="Z113" s="37"/>
      <c r="AA113" s="37">
        <f>+X113+Y113-Z113</f>
        <v>630876.26</v>
      </c>
      <c r="AB113" s="33"/>
      <c r="AC113" s="33"/>
      <c r="AD113" s="33"/>
      <c r="AE113" s="33"/>
    </row>
    <row r="114" spans="1:31" hidden="1" x14ac:dyDescent="0.25">
      <c r="A114" s="3">
        <v>1</v>
      </c>
      <c r="B114" s="3">
        <v>2</v>
      </c>
      <c r="C114" s="3">
        <v>3</v>
      </c>
      <c r="D114" s="3">
        <v>4</v>
      </c>
      <c r="E114" s="3"/>
      <c r="F114" s="3" t="s">
        <v>127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5"/>
      <c r="W114" s="5"/>
      <c r="X114" s="3"/>
      <c r="Y114" s="5"/>
      <c r="Z114" s="5"/>
      <c r="AA114" s="5"/>
      <c r="AB114" s="33"/>
      <c r="AC114" s="33"/>
      <c r="AD114" s="33"/>
      <c r="AE114" s="33"/>
    </row>
    <row r="115" spans="1:31" ht="24" hidden="1" x14ac:dyDescent="0.25">
      <c r="A115" s="3">
        <v>1</v>
      </c>
      <c r="B115" s="3">
        <v>2</v>
      </c>
      <c r="C115" s="3">
        <v>3</v>
      </c>
      <c r="D115" s="3">
        <v>5</v>
      </c>
      <c r="E115" s="3"/>
      <c r="F115" s="3" t="s">
        <v>128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5"/>
      <c r="W115" s="5"/>
      <c r="X115" s="3"/>
      <c r="Y115" s="5"/>
      <c r="Z115" s="5"/>
      <c r="AA115" s="5"/>
      <c r="AB115" s="33"/>
      <c r="AC115" s="33"/>
      <c r="AD115" s="33"/>
      <c r="AE115" s="33"/>
    </row>
    <row r="116" spans="1:31" hidden="1" x14ac:dyDescent="0.25">
      <c r="A116" s="3">
        <v>1</v>
      </c>
      <c r="B116" s="3">
        <v>2</v>
      </c>
      <c r="C116" s="3">
        <v>3</v>
      </c>
      <c r="D116" s="3">
        <v>6</v>
      </c>
      <c r="E116" s="3"/>
      <c r="F116" s="3" t="s">
        <v>129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5"/>
      <c r="W116" s="5"/>
      <c r="X116" s="3"/>
      <c r="Y116" s="5"/>
      <c r="Z116" s="5"/>
      <c r="AA116" s="5"/>
      <c r="AB116" s="33"/>
      <c r="AC116" s="33"/>
      <c r="AD116" s="33"/>
      <c r="AE116" s="33"/>
    </row>
    <row r="117" spans="1:31" hidden="1" x14ac:dyDescent="0.25">
      <c r="A117" s="3">
        <v>1</v>
      </c>
      <c r="B117" s="3">
        <v>2</v>
      </c>
      <c r="C117" s="3">
        <v>3</v>
      </c>
      <c r="D117" s="3">
        <v>9</v>
      </c>
      <c r="E117" s="3"/>
      <c r="F117" s="3" t="s">
        <v>130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5"/>
      <c r="W117" s="5"/>
      <c r="X117" s="3"/>
      <c r="Y117" s="5"/>
      <c r="Z117" s="5"/>
      <c r="AA117" s="5"/>
      <c r="AB117" s="33"/>
      <c r="AC117" s="33"/>
      <c r="AD117" s="33"/>
      <c r="AE117" s="33"/>
    </row>
    <row r="118" spans="1:31" x14ac:dyDescent="0.25">
      <c r="A118" s="8">
        <v>1</v>
      </c>
      <c r="B118" s="8">
        <v>2</v>
      </c>
      <c r="C118" s="8">
        <v>4</v>
      </c>
      <c r="D118" s="8"/>
      <c r="E118" s="8"/>
      <c r="F118" s="11" t="s">
        <v>63</v>
      </c>
      <c r="G118" s="7">
        <f>+G119+G140+G146+G147+G157+G158+G216+G217</f>
        <v>2488176.27</v>
      </c>
      <c r="H118" s="7">
        <f t="shared" ref="H118:L118" si="23">+H119+H140+H146+H147+H157+H158+H216+H217</f>
        <v>0</v>
      </c>
      <c r="I118" s="7">
        <f t="shared" si="23"/>
        <v>0</v>
      </c>
      <c r="J118" s="7">
        <f t="shared" si="23"/>
        <v>0</v>
      </c>
      <c r="K118" s="7">
        <f t="shared" si="23"/>
        <v>0</v>
      </c>
      <c r="L118" s="7">
        <f t="shared" si="23"/>
        <v>424830</v>
      </c>
      <c r="M118" s="7"/>
      <c r="N118" s="7">
        <f>+N119+N140+N146+N147+N157+N158+N216+N217</f>
        <v>849660</v>
      </c>
      <c r="O118" s="7">
        <f>+O119+O140+O146+O147+O157+O158+O216+O217-1</f>
        <v>181998.5</v>
      </c>
      <c r="P118" s="7">
        <f>+P119+P140+P146+P147+P157+P158+P216+P217</f>
        <v>0</v>
      </c>
      <c r="Q118" s="7">
        <f>+Q119+Q140+Q146+Q147+Q157+Q158+Q216+Q217</f>
        <v>0</v>
      </c>
      <c r="R118" s="7">
        <f>+R119+R140+R146+R147+R157+R158+R216+R217</f>
        <v>0</v>
      </c>
      <c r="S118" s="7">
        <f>+S119+S140+S146+S147+S157+S158+S216+S217</f>
        <v>0</v>
      </c>
      <c r="T118" s="7"/>
      <c r="U118" s="7">
        <f>+U119+U140+U146+U147+U157+U158+U216+U217-1</f>
        <v>910728.5</v>
      </c>
      <c r="V118" s="7">
        <f>+V119+V140+V146+V147+V157+V158+V216+V217</f>
        <v>2427106.77</v>
      </c>
      <c r="W118" s="7"/>
      <c r="X118" s="7">
        <f>+X119+X140+X146+X147+X157+X158+X216+X217</f>
        <v>2353585.27</v>
      </c>
      <c r="Y118" s="7"/>
      <c r="Z118" s="7"/>
      <c r="AA118" s="7">
        <f>+AA119+AA140+AA146+AA147+AA157+AA158+AA216+AA217+1</f>
        <v>2213885.27</v>
      </c>
      <c r="AB118" s="33"/>
      <c r="AC118" s="33"/>
      <c r="AD118" s="33"/>
      <c r="AE118" s="33"/>
    </row>
    <row r="119" spans="1:31" x14ac:dyDescent="0.25">
      <c r="A119" s="3">
        <v>1</v>
      </c>
      <c r="B119" s="3">
        <v>2</v>
      </c>
      <c r="C119" s="3">
        <v>4</v>
      </c>
      <c r="D119" s="3">
        <v>1</v>
      </c>
      <c r="E119" s="3"/>
      <c r="F119" s="3" t="s">
        <v>131</v>
      </c>
      <c r="G119" s="10">
        <f>SUM(G120:G139)+1</f>
        <v>291650.16999999993</v>
      </c>
      <c r="H119" s="10">
        <f>SUM(H120:H139)</f>
        <v>0</v>
      </c>
      <c r="I119" s="10">
        <f>SUM(I120:I139)</f>
        <v>0</v>
      </c>
      <c r="J119" s="10">
        <f>SUM(J120:J139)</f>
        <v>0</v>
      </c>
      <c r="K119" s="10">
        <f>SUM(K120:K139)</f>
        <v>0</v>
      </c>
      <c r="L119" s="10"/>
      <c r="M119" s="10"/>
      <c r="N119" s="10">
        <f>SUM(N120:N139)</f>
        <v>0</v>
      </c>
      <c r="O119" s="10">
        <f>SUM(O120:O139)</f>
        <v>38436</v>
      </c>
      <c r="P119" s="10">
        <f>SUM(P120:P139)</f>
        <v>0</v>
      </c>
      <c r="Q119" s="10">
        <f>SUM(Q120:Q139)</f>
        <v>0</v>
      </c>
      <c r="R119" s="10">
        <f>SUM(R120:R139)</f>
        <v>0</v>
      </c>
      <c r="S119" s="10"/>
      <c r="T119" s="10"/>
      <c r="U119" s="10">
        <f>SUM(U120:U139)</f>
        <v>38436</v>
      </c>
      <c r="V119" s="10">
        <f>SUM(V120:V139)+1</f>
        <v>253214.16999999998</v>
      </c>
      <c r="W119" s="10"/>
      <c r="X119" s="10">
        <f>SUM(X120:X139)+1</f>
        <v>154159.17000000001</v>
      </c>
      <c r="Y119" s="10"/>
      <c r="Z119" s="10"/>
      <c r="AA119" s="10">
        <f>SUM(AA120:AA139)</f>
        <v>154158.17000000001</v>
      </c>
      <c r="AB119" s="33"/>
      <c r="AC119" s="33"/>
      <c r="AD119" s="33"/>
      <c r="AE119" s="33"/>
    </row>
    <row r="120" spans="1:31" x14ac:dyDescent="0.25">
      <c r="A120" s="3"/>
      <c r="B120" s="3"/>
      <c r="C120" s="3"/>
      <c r="D120" s="3"/>
      <c r="E120" s="3">
        <v>1</v>
      </c>
      <c r="F120" s="36" t="s">
        <v>468</v>
      </c>
      <c r="G120" s="37">
        <v>33925</v>
      </c>
      <c r="H120" s="37">
        <v>0</v>
      </c>
      <c r="I120" s="37">
        <v>0</v>
      </c>
      <c r="J120" s="37">
        <v>0</v>
      </c>
      <c r="K120" s="37">
        <v>0</v>
      </c>
      <c r="L120" s="37"/>
      <c r="M120" s="37"/>
      <c r="N120" s="37">
        <v>0</v>
      </c>
      <c r="O120" s="37">
        <v>31050</v>
      </c>
      <c r="P120" s="37"/>
      <c r="Q120" s="37"/>
      <c r="R120" s="37"/>
      <c r="S120" s="37"/>
      <c r="T120" s="37"/>
      <c r="U120" s="37">
        <v>31050</v>
      </c>
      <c r="V120" s="37">
        <f t="shared" ref="V120:V139" si="24">+G120+N120-U120</f>
        <v>2875</v>
      </c>
      <c r="W120" s="37"/>
      <c r="X120" s="37">
        <v>33925</v>
      </c>
      <c r="Y120" s="37"/>
      <c r="Z120" s="37"/>
      <c r="AA120" s="37">
        <f t="shared" ref="AA120:AA145" si="25">+X120+Y120-Z120</f>
        <v>33925</v>
      </c>
      <c r="AB120" s="33"/>
      <c r="AC120" s="33"/>
      <c r="AD120" s="33"/>
      <c r="AE120" s="33"/>
    </row>
    <row r="121" spans="1:31" x14ac:dyDescent="0.25">
      <c r="A121" s="3"/>
      <c r="B121" s="3"/>
      <c r="C121" s="3"/>
      <c r="D121" s="3"/>
      <c r="E121" s="3">
        <v>2</v>
      </c>
      <c r="F121" s="36" t="s">
        <v>469</v>
      </c>
      <c r="G121" s="37">
        <v>23719</v>
      </c>
      <c r="H121" s="37">
        <v>0</v>
      </c>
      <c r="I121" s="37">
        <v>0</v>
      </c>
      <c r="J121" s="37">
        <v>0</v>
      </c>
      <c r="K121" s="37">
        <v>0</v>
      </c>
      <c r="L121" s="37"/>
      <c r="M121" s="37"/>
      <c r="N121" s="37">
        <v>0</v>
      </c>
      <c r="O121" s="37">
        <v>0</v>
      </c>
      <c r="P121" s="37"/>
      <c r="Q121" s="37"/>
      <c r="R121" s="37"/>
      <c r="S121" s="37"/>
      <c r="T121" s="37"/>
      <c r="U121" s="37">
        <v>0</v>
      </c>
      <c r="V121" s="37">
        <f t="shared" si="24"/>
        <v>23719</v>
      </c>
      <c r="W121" s="37"/>
      <c r="X121" s="37">
        <v>23719</v>
      </c>
      <c r="Y121" s="37"/>
      <c r="Z121" s="37"/>
      <c r="AA121" s="37">
        <f t="shared" si="25"/>
        <v>23719</v>
      </c>
      <c r="AB121" s="33"/>
      <c r="AC121" s="33"/>
      <c r="AD121" s="33"/>
      <c r="AE121" s="33"/>
    </row>
    <row r="122" spans="1:31" x14ac:dyDescent="0.25">
      <c r="A122" s="3"/>
      <c r="B122" s="3"/>
      <c r="C122" s="3"/>
      <c r="D122" s="3"/>
      <c r="E122" s="3">
        <v>3</v>
      </c>
      <c r="F122" s="36" t="s">
        <v>470</v>
      </c>
      <c r="G122" s="37">
        <v>6789.99</v>
      </c>
      <c r="H122" s="37">
        <v>0</v>
      </c>
      <c r="I122" s="37">
        <v>0</v>
      </c>
      <c r="J122" s="37">
        <v>0</v>
      </c>
      <c r="K122" s="37">
        <v>0</v>
      </c>
      <c r="L122" s="37"/>
      <c r="M122" s="37"/>
      <c r="N122" s="37">
        <v>0</v>
      </c>
      <c r="O122" s="37">
        <v>1978</v>
      </c>
      <c r="P122" s="37"/>
      <c r="Q122" s="37"/>
      <c r="R122" s="37"/>
      <c r="S122" s="37"/>
      <c r="T122" s="37"/>
      <c r="U122" s="37">
        <v>1978</v>
      </c>
      <c r="V122" s="37">
        <f t="shared" si="24"/>
        <v>4811.99</v>
      </c>
      <c r="W122" s="37"/>
      <c r="X122" s="37">
        <v>6789.99</v>
      </c>
      <c r="Y122" s="37"/>
      <c r="Z122" s="37"/>
      <c r="AA122" s="37">
        <f t="shared" si="25"/>
        <v>6789.99</v>
      </c>
      <c r="AB122" s="33"/>
      <c r="AC122" s="33"/>
      <c r="AD122" s="33"/>
      <c r="AE122" s="33"/>
    </row>
    <row r="123" spans="1:31" x14ac:dyDescent="0.25">
      <c r="A123" s="3"/>
      <c r="B123" s="3"/>
      <c r="C123" s="3"/>
      <c r="D123" s="3"/>
      <c r="E123" s="3">
        <v>4</v>
      </c>
      <c r="F123" s="36" t="s">
        <v>471</v>
      </c>
      <c r="G123" s="37">
        <v>137491</v>
      </c>
      <c r="H123" s="37">
        <v>0</v>
      </c>
      <c r="I123" s="37">
        <v>0</v>
      </c>
      <c r="J123" s="37">
        <v>0</v>
      </c>
      <c r="K123" s="37">
        <v>0</v>
      </c>
      <c r="L123" s="37"/>
      <c r="M123" s="37"/>
      <c r="N123" s="37">
        <v>0</v>
      </c>
      <c r="O123" s="37">
        <v>0</v>
      </c>
      <c r="P123" s="37"/>
      <c r="Q123" s="37"/>
      <c r="R123" s="37"/>
      <c r="S123" s="37"/>
      <c r="T123" s="37"/>
      <c r="U123" s="37">
        <v>0</v>
      </c>
      <c r="V123" s="37">
        <f t="shared" si="24"/>
        <v>137491</v>
      </c>
      <c r="W123" s="37"/>
      <c r="X123" s="37">
        <v>0</v>
      </c>
      <c r="Y123" s="37"/>
      <c r="Z123" s="37"/>
      <c r="AA123" s="37">
        <f t="shared" si="25"/>
        <v>0</v>
      </c>
      <c r="AB123" s="33"/>
      <c r="AC123" s="33"/>
      <c r="AD123" s="33"/>
      <c r="AE123" s="33"/>
    </row>
    <row r="124" spans="1:31" x14ac:dyDescent="0.25">
      <c r="A124" s="3"/>
      <c r="B124" s="3"/>
      <c r="C124" s="3"/>
      <c r="D124" s="3"/>
      <c r="E124" s="3">
        <v>5</v>
      </c>
      <c r="F124" s="36" t="s">
        <v>472</v>
      </c>
      <c r="G124" s="37">
        <v>17294.34</v>
      </c>
      <c r="H124" s="37">
        <v>0</v>
      </c>
      <c r="I124" s="37">
        <v>0</v>
      </c>
      <c r="J124" s="37">
        <v>0</v>
      </c>
      <c r="K124" s="37">
        <v>0</v>
      </c>
      <c r="L124" s="37"/>
      <c r="M124" s="37"/>
      <c r="N124" s="37">
        <v>0</v>
      </c>
      <c r="O124" s="37">
        <v>0</v>
      </c>
      <c r="P124" s="37"/>
      <c r="Q124" s="37"/>
      <c r="R124" s="37"/>
      <c r="S124" s="37"/>
      <c r="T124" s="37"/>
      <c r="U124" s="37">
        <v>0</v>
      </c>
      <c r="V124" s="37">
        <f t="shared" si="24"/>
        <v>17294.34</v>
      </c>
      <c r="W124" s="37"/>
      <c r="X124" s="37">
        <v>17294.34</v>
      </c>
      <c r="Y124" s="37"/>
      <c r="Z124" s="37"/>
      <c r="AA124" s="37">
        <f t="shared" si="25"/>
        <v>17294.34</v>
      </c>
      <c r="AB124" s="33"/>
      <c r="AC124" s="33"/>
      <c r="AD124" s="33"/>
      <c r="AE124" s="33"/>
    </row>
    <row r="125" spans="1:31" x14ac:dyDescent="0.25">
      <c r="A125" s="3"/>
      <c r="B125" s="3"/>
      <c r="C125" s="3"/>
      <c r="D125" s="3"/>
      <c r="E125" s="3">
        <v>6</v>
      </c>
      <c r="F125" s="36" t="s">
        <v>473</v>
      </c>
      <c r="G125" s="37">
        <v>1592.06</v>
      </c>
      <c r="H125" s="37">
        <v>0</v>
      </c>
      <c r="I125" s="37">
        <v>0</v>
      </c>
      <c r="J125" s="37">
        <v>0</v>
      </c>
      <c r="K125" s="37">
        <v>0</v>
      </c>
      <c r="L125" s="37"/>
      <c r="M125" s="37"/>
      <c r="N125" s="37">
        <v>0</v>
      </c>
      <c r="O125" s="37">
        <v>0</v>
      </c>
      <c r="P125" s="37"/>
      <c r="Q125" s="37"/>
      <c r="R125" s="37"/>
      <c r="S125" s="37"/>
      <c r="T125" s="37"/>
      <c r="U125" s="37">
        <v>0</v>
      </c>
      <c r="V125" s="37">
        <f t="shared" si="24"/>
        <v>1592.06</v>
      </c>
      <c r="W125" s="37"/>
      <c r="X125" s="37">
        <v>1592.06</v>
      </c>
      <c r="Y125" s="37"/>
      <c r="Z125" s="37"/>
      <c r="AA125" s="37">
        <f t="shared" si="25"/>
        <v>1592.06</v>
      </c>
      <c r="AB125" s="33"/>
      <c r="AC125" s="33"/>
      <c r="AD125" s="33"/>
      <c r="AE125" s="33"/>
    </row>
    <row r="126" spans="1:31" x14ac:dyDescent="0.25">
      <c r="A126" s="3"/>
      <c r="B126" s="3"/>
      <c r="C126" s="3"/>
      <c r="D126" s="3"/>
      <c r="E126" s="3">
        <v>7</v>
      </c>
      <c r="F126" s="36" t="s">
        <v>474</v>
      </c>
      <c r="G126" s="37">
        <v>4500</v>
      </c>
      <c r="H126" s="37">
        <v>0</v>
      </c>
      <c r="I126" s="37">
        <v>0</v>
      </c>
      <c r="J126" s="37">
        <v>0</v>
      </c>
      <c r="K126" s="37">
        <v>0</v>
      </c>
      <c r="L126" s="37"/>
      <c r="M126" s="37"/>
      <c r="N126" s="37">
        <v>0</v>
      </c>
      <c r="O126" s="37">
        <v>4500</v>
      </c>
      <c r="P126" s="37"/>
      <c r="Q126" s="37"/>
      <c r="R126" s="37"/>
      <c r="S126" s="37"/>
      <c r="T126" s="37"/>
      <c r="U126" s="37">
        <v>4500</v>
      </c>
      <c r="V126" s="37">
        <f t="shared" si="24"/>
        <v>0</v>
      </c>
      <c r="W126" s="37"/>
      <c r="X126" s="37">
        <v>4500</v>
      </c>
      <c r="Y126" s="37"/>
      <c r="Z126" s="37"/>
      <c r="AA126" s="37">
        <f t="shared" si="25"/>
        <v>4500</v>
      </c>
      <c r="AB126" s="33"/>
      <c r="AC126" s="33"/>
      <c r="AD126" s="33"/>
      <c r="AE126" s="33"/>
    </row>
    <row r="127" spans="1:31" x14ac:dyDescent="0.25">
      <c r="A127" s="3"/>
      <c r="B127" s="3"/>
      <c r="C127" s="3"/>
      <c r="D127" s="3"/>
      <c r="E127" s="3">
        <v>8</v>
      </c>
      <c r="F127" s="36" t="s">
        <v>475</v>
      </c>
      <c r="G127" s="37">
        <v>15850.76</v>
      </c>
      <c r="H127" s="37">
        <v>0</v>
      </c>
      <c r="I127" s="37">
        <v>0</v>
      </c>
      <c r="J127" s="37">
        <v>0</v>
      </c>
      <c r="K127" s="37">
        <v>0</v>
      </c>
      <c r="L127" s="37"/>
      <c r="M127" s="37"/>
      <c r="N127" s="37">
        <v>0</v>
      </c>
      <c r="O127" s="37">
        <v>0</v>
      </c>
      <c r="P127" s="37"/>
      <c r="Q127" s="37"/>
      <c r="R127" s="37"/>
      <c r="S127" s="37"/>
      <c r="T127" s="37"/>
      <c r="U127" s="37">
        <v>0</v>
      </c>
      <c r="V127" s="37">
        <f t="shared" si="24"/>
        <v>15850.76</v>
      </c>
      <c r="W127" s="37"/>
      <c r="X127" s="37">
        <v>15850.76</v>
      </c>
      <c r="Y127" s="37"/>
      <c r="Z127" s="37"/>
      <c r="AA127" s="37">
        <f t="shared" si="25"/>
        <v>15850.76</v>
      </c>
      <c r="AB127" s="33"/>
      <c r="AC127" s="33"/>
      <c r="AD127" s="33"/>
      <c r="AE127" s="33"/>
    </row>
    <row r="128" spans="1:31" x14ac:dyDescent="0.25">
      <c r="A128" s="3"/>
      <c r="B128" s="3"/>
      <c r="C128" s="3"/>
      <c r="D128" s="3"/>
      <c r="E128" s="3">
        <v>9</v>
      </c>
      <c r="F128" s="36" t="s">
        <v>476</v>
      </c>
      <c r="G128" s="37">
        <v>5348.71</v>
      </c>
      <c r="H128" s="37">
        <v>0</v>
      </c>
      <c r="I128" s="37">
        <v>0</v>
      </c>
      <c r="J128" s="37">
        <v>0</v>
      </c>
      <c r="K128" s="37">
        <v>0</v>
      </c>
      <c r="L128" s="37"/>
      <c r="M128" s="37"/>
      <c r="N128" s="37">
        <v>0</v>
      </c>
      <c r="O128" s="37">
        <v>0</v>
      </c>
      <c r="P128" s="37"/>
      <c r="Q128" s="37"/>
      <c r="R128" s="37"/>
      <c r="S128" s="37"/>
      <c r="T128" s="37"/>
      <c r="U128" s="37">
        <v>0</v>
      </c>
      <c r="V128" s="37">
        <f t="shared" si="24"/>
        <v>5348.71</v>
      </c>
      <c r="W128" s="37"/>
      <c r="X128" s="37">
        <v>5348.71</v>
      </c>
      <c r="Y128" s="37"/>
      <c r="Z128" s="37"/>
      <c r="AA128" s="37">
        <f t="shared" si="25"/>
        <v>5348.71</v>
      </c>
      <c r="AB128" s="33"/>
      <c r="AC128" s="33"/>
      <c r="AD128" s="33"/>
      <c r="AE128" s="33"/>
    </row>
    <row r="129" spans="1:31" x14ac:dyDescent="0.25">
      <c r="A129" s="3"/>
      <c r="B129" s="3"/>
      <c r="C129" s="3"/>
      <c r="D129" s="3"/>
      <c r="E129" s="3">
        <v>10</v>
      </c>
      <c r="F129" s="36" t="s">
        <v>477</v>
      </c>
      <c r="G129" s="37">
        <v>3220</v>
      </c>
      <c r="H129" s="37">
        <v>0</v>
      </c>
      <c r="I129" s="37">
        <v>0</v>
      </c>
      <c r="J129" s="37">
        <v>0</v>
      </c>
      <c r="K129" s="37">
        <v>0</v>
      </c>
      <c r="L129" s="37"/>
      <c r="M129" s="37"/>
      <c r="N129" s="37">
        <v>0</v>
      </c>
      <c r="O129" s="37">
        <v>0</v>
      </c>
      <c r="P129" s="37"/>
      <c r="Q129" s="37"/>
      <c r="R129" s="37"/>
      <c r="S129" s="37"/>
      <c r="T129" s="37"/>
      <c r="U129" s="37">
        <v>0</v>
      </c>
      <c r="V129" s="37">
        <f t="shared" si="24"/>
        <v>3220</v>
      </c>
      <c r="W129" s="37"/>
      <c r="X129" s="37">
        <v>3220</v>
      </c>
      <c r="Y129" s="37"/>
      <c r="Z129" s="37"/>
      <c r="AA129" s="37">
        <f t="shared" si="25"/>
        <v>3220</v>
      </c>
      <c r="AB129" s="33"/>
      <c r="AC129" s="33"/>
      <c r="AD129" s="33"/>
      <c r="AE129" s="33"/>
    </row>
    <row r="130" spans="1:31" x14ac:dyDescent="0.25">
      <c r="A130" s="3"/>
      <c r="B130" s="3"/>
      <c r="C130" s="3"/>
      <c r="D130" s="3"/>
      <c r="E130" s="3">
        <v>11</v>
      </c>
      <c r="F130" s="36" t="s">
        <v>478</v>
      </c>
      <c r="G130" s="37">
        <v>1380</v>
      </c>
      <c r="H130" s="37">
        <v>0</v>
      </c>
      <c r="I130" s="37">
        <v>0</v>
      </c>
      <c r="J130" s="37">
        <v>0</v>
      </c>
      <c r="K130" s="37">
        <v>0</v>
      </c>
      <c r="L130" s="37"/>
      <c r="M130" s="37"/>
      <c r="N130" s="37">
        <v>0</v>
      </c>
      <c r="O130" s="37">
        <v>0</v>
      </c>
      <c r="P130" s="37"/>
      <c r="Q130" s="37"/>
      <c r="R130" s="37"/>
      <c r="S130" s="37"/>
      <c r="T130" s="37"/>
      <c r="U130" s="37">
        <v>0</v>
      </c>
      <c r="V130" s="37">
        <f t="shared" si="24"/>
        <v>1380</v>
      </c>
      <c r="W130" s="37"/>
      <c r="X130" s="37">
        <v>1380</v>
      </c>
      <c r="Y130" s="37"/>
      <c r="Z130" s="37"/>
      <c r="AA130" s="37">
        <f t="shared" si="25"/>
        <v>1380</v>
      </c>
      <c r="AB130" s="33"/>
      <c r="AC130" s="33"/>
      <c r="AD130" s="33"/>
      <c r="AE130" s="33"/>
    </row>
    <row r="131" spans="1:31" x14ac:dyDescent="0.25">
      <c r="A131" s="3"/>
      <c r="B131" s="3"/>
      <c r="C131" s="3"/>
      <c r="D131" s="3"/>
      <c r="E131" s="3">
        <v>12</v>
      </c>
      <c r="F131" s="36" t="s">
        <v>479</v>
      </c>
      <c r="G131" s="37">
        <v>7923.86</v>
      </c>
      <c r="H131" s="37">
        <v>0</v>
      </c>
      <c r="I131" s="37">
        <v>0</v>
      </c>
      <c r="J131" s="37">
        <v>0</v>
      </c>
      <c r="K131" s="37">
        <v>0</v>
      </c>
      <c r="L131" s="37"/>
      <c r="M131" s="37"/>
      <c r="N131" s="37">
        <v>0</v>
      </c>
      <c r="O131" s="37">
        <v>0</v>
      </c>
      <c r="P131" s="37"/>
      <c r="Q131" s="37"/>
      <c r="R131" s="37"/>
      <c r="S131" s="37"/>
      <c r="T131" s="37"/>
      <c r="U131" s="37">
        <v>0</v>
      </c>
      <c r="V131" s="37">
        <f t="shared" si="24"/>
        <v>7923.86</v>
      </c>
      <c r="W131" s="37"/>
      <c r="X131" s="37">
        <v>7923.86</v>
      </c>
      <c r="Y131" s="37"/>
      <c r="Z131" s="37"/>
      <c r="AA131" s="37">
        <f t="shared" si="25"/>
        <v>7923.86</v>
      </c>
      <c r="AB131" s="33"/>
      <c r="AC131" s="33"/>
      <c r="AD131" s="33"/>
      <c r="AE131" s="33"/>
    </row>
    <row r="132" spans="1:31" x14ac:dyDescent="0.25">
      <c r="A132" s="3"/>
      <c r="B132" s="3"/>
      <c r="C132" s="3"/>
      <c r="D132" s="3"/>
      <c r="E132" s="3">
        <v>13</v>
      </c>
      <c r="F132" s="36" t="s">
        <v>480</v>
      </c>
      <c r="G132" s="37">
        <v>4690.8500000000004</v>
      </c>
      <c r="H132" s="37">
        <v>0</v>
      </c>
      <c r="I132" s="37">
        <v>0</v>
      </c>
      <c r="J132" s="37">
        <v>0</v>
      </c>
      <c r="K132" s="37">
        <v>0</v>
      </c>
      <c r="L132" s="37"/>
      <c r="M132" s="37"/>
      <c r="N132" s="37">
        <v>0</v>
      </c>
      <c r="O132" s="37">
        <v>0</v>
      </c>
      <c r="P132" s="37"/>
      <c r="Q132" s="37"/>
      <c r="R132" s="37"/>
      <c r="S132" s="37"/>
      <c r="T132" s="37"/>
      <c r="U132" s="37">
        <v>0</v>
      </c>
      <c r="V132" s="37">
        <f t="shared" si="24"/>
        <v>4690.8500000000004</v>
      </c>
      <c r="W132" s="37"/>
      <c r="X132" s="37">
        <v>4690.8500000000004</v>
      </c>
      <c r="Y132" s="37"/>
      <c r="Z132" s="37"/>
      <c r="AA132" s="37">
        <f t="shared" si="25"/>
        <v>4690.8500000000004</v>
      </c>
      <c r="AB132" s="33"/>
      <c r="AC132" s="33"/>
      <c r="AD132" s="33"/>
      <c r="AE132" s="33"/>
    </row>
    <row r="133" spans="1:31" x14ac:dyDescent="0.25">
      <c r="A133" s="3"/>
      <c r="B133" s="3"/>
      <c r="C133" s="3"/>
      <c r="D133" s="3"/>
      <c r="E133" s="3">
        <v>14</v>
      </c>
      <c r="F133" s="36" t="s">
        <v>481</v>
      </c>
      <c r="G133" s="37">
        <v>1469</v>
      </c>
      <c r="H133" s="37">
        <v>0</v>
      </c>
      <c r="I133" s="37">
        <v>0</v>
      </c>
      <c r="J133" s="37">
        <v>0</v>
      </c>
      <c r="K133" s="37">
        <v>0</v>
      </c>
      <c r="L133" s="37"/>
      <c r="M133" s="37"/>
      <c r="N133" s="37">
        <v>0</v>
      </c>
      <c r="O133" s="37">
        <v>0</v>
      </c>
      <c r="P133" s="37"/>
      <c r="Q133" s="37"/>
      <c r="R133" s="37"/>
      <c r="S133" s="37"/>
      <c r="T133" s="37"/>
      <c r="U133" s="37">
        <v>0</v>
      </c>
      <c r="V133" s="37">
        <f t="shared" si="24"/>
        <v>1469</v>
      </c>
      <c r="W133" s="37"/>
      <c r="X133" s="37">
        <v>1469</v>
      </c>
      <c r="Y133" s="37"/>
      <c r="Z133" s="37"/>
      <c r="AA133" s="37">
        <f t="shared" si="25"/>
        <v>1469</v>
      </c>
      <c r="AB133" s="33"/>
      <c r="AC133" s="33"/>
      <c r="AD133" s="33"/>
      <c r="AE133" s="33"/>
    </row>
    <row r="134" spans="1:31" x14ac:dyDescent="0.25">
      <c r="A134" s="3"/>
      <c r="B134" s="3"/>
      <c r="C134" s="3"/>
      <c r="D134" s="3"/>
      <c r="E134" s="3">
        <v>15</v>
      </c>
      <c r="F134" s="36" t="s">
        <v>482</v>
      </c>
      <c r="G134" s="37">
        <v>4907.96</v>
      </c>
      <c r="H134" s="37">
        <v>0</v>
      </c>
      <c r="I134" s="37">
        <v>0</v>
      </c>
      <c r="J134" s="37">
        <v>0</v>
      </c>
      <c r="K134" s="37">
        <v>0</v>
      </c>
      <c r="L134" s="37"/>
      <c r="M134" s="37"/>
      <c r="N134" s="37">
        <v>0</v>
      </c>
      <c r="O134" s="37">
        <v>0</v>
      </c>
      <c r="P134" s="37"/>
      <c r="Q134" s="37"/>
      <c r="R134" s="37"/>
      <c r="S134" s="37"/>
      <c r="T134" s="37"/>
      <c r="U134" s="37">
        <v>0</v>
      </c>
      <c r="V134" s="37">
        <f t="shared" si="24"/>
        <v>4907.96</v>
      </c>
      <c r="W134" s="37"/>
      <c r="X134" s="37">
        <v>4907.96</v>
      </c>
      <c r="Y134" s="37"/>
      <c r="Z134" s="37"/>
      <c r="AA134" s="37">
        <f t="shared" si="25"/>
        <v>4907.96</v>
      </c>
      <c r="AB134" s="33"/>
      <c r="AC134" s="33"/>
      <c r="AD134" s="33"/>
      <c r="AE134" s="33"/>
    </row>
    <row r="135" spans="1:31" x14ac:dyDescent="0.25">
      <c r="A135" s="3"/>
      <c r="B135" s="3"/>
      <c r="C135" s="3"/>
      <c r="D135" s="3"/>
      <c r="E135" s="3">
        <v>16</v>
      </c>
      <c r="F135" s="36" t="s">
        <v>483</v>
      </c>
      <c r="G135" s="37">
        <v>4338</v>
      </c>
      <c r="H135" s="37">
        <v>0</v>
      </c>
      <c r="I135" s="37">
        <v>0</v>
      </c>
      <c r="J135" s="37">
        <v>0</v>
      </c>
      <c r="K135" s="37">
        <v>0</v>
      </c>
      <c r="L135" s="37"/>
      <c r="M135" s="37"/>
      <c r="N135" s="37">
        <v>0</v>
      </c>
      <c r="O135" s="37">
        <v>0</v>
      </c>
      <c r="P135" s="37"/>
      <c r="Q135" s="37"/>
      <c r="R135" s="37"/>
      <c r="S135" s="37"/>
      <c r="T135" s="37"/>
      <c r="U135" s="37">
        <v>0</v>
      </c>
      <c r="V135" s="37">
        <f t="shared" si="24"/>
        <v>4338</v>
      </c>
      <c r="W135" s="37"/>
      <c r="X135" s="37">
        <v>4338</v>
      </c>
      <c r="Y135" s="37"/>
      <c r="Z135" s="37"/>
      <c r="AA135" s="37">
        <f t="shared" si="25"/>
        <v>4338</v>
      </c>
      <c r="AB135" s="33"/>
      <c r="AC135" s="33"/>
      <c r="AD135" s="33"/>
      <c r="AE135" s="33"/>
    </row>
    <row r="136" spans="1:31" x14ac:dyDescent="0.25">
      <c r="A136" s="3"/>
      <c r="B136" s="3"/>
      <c r="C136" s="3"/>
      <c r="D136" s="3"/>
      <c r="E136" s="3">
        <v>17</v>
      </c>
      <c r="F136" s="36" t="s">
        <v>484</v>
      </c>
      <c r="G136" s="37">
        <v>3314.73</v>
      </c>
      <c r="H136" s="37">
        <v>0</v>
      </c>
      <c r="I136" s="37">
        <v>0</v>
      </c>
      <c r="J136" s="37">
        <v>0</v>
      </c>
      <c r="K136" s="37">
        <v>0</v>
      </c>
      <c r="L136" s="37"/>
      <c r="M136" s="37"/>
      <c r="N136" s="37">
        <v>0</v>
      </c>
      <c r="O136" s="37">
        <v>908</v>
      </c>
      <c r="P136" s="37"/>
      <c r="Q136" s="37"/>
      <c r="R136" s="37"/>
      <c r="S136" s="37"/>
      <c r="T136" s="37"/>
      <c r="U136" s="37">
        <v>908</v>
      </c>
      <c r="V136" s="37">
        <f t="shared" si="24"/>
        <v>2406.73</v>
      </c>
      <c r="W136" s="37"/>
      <c r="X136" s="37">
        <v>3314.73</v>
      </c>
      <c r="Y136" s="37"/>
      <c r="Z136" s="37"/>
      <c r="AA136" s="37">
        <f t="shared" si="25"/>
        <v>3314.73</v>
      </c>
      <c r="AB136" s="33"/>
      <c r="AC136" s="33"/>
      <c r="AD136" s="33"/>
      <c r="AE136" s="33"/>
    </row>
    <row r="137" spans="1:31" x14ac:dyDescent="0.25">
      <c r="A137" s="3"/>
      <c r="B137" s="3"/>
      <c r="C137" s="3"/>
      <c r="D137" s="3"/>
      <c r="E137" s="3">
        <v>18</v>
      </c>
      <c r="F137" s="36" t="s">
        <v>485</v>
      </c>
      <c r="G137" s="37">
        <v>1274.9100000000001</v>
      </c>
      <c r="H137" s="37">
        <v>0</v>
      </c>
      <c r="I137" s="37">
        <v>0</v>
      </c>
      <c r="J137" s="37">
        <v>0</v>
      </c>
      <c r="K137" s="37">
        <v>0</v>
      </c>
      <c r="L137" s="37"/>
      <c r="M137" s="37"/>
      <c r="N137" s="37">
        <v>0</v>
      </c>
      <c r="O137" s="37">
        <v>0</v>
      </c>
      <c r="P137" s="37">
        <v>0</v>
      </c>
      <c r="Q137" s="37">
        <v>0</v>
      </c>
      <c r="R137" s="37">
        <v>0</v>
      </c>
      <c r="S137" s="37"/>
      <c r="T137" s="37"/>
      <c r="U137" s="37">
        <v>0</v>
      </c>
      <c r="V137" s="37">
        <f t="shared" si="24"/>
        <v>1274.9100000000001</v>
      </c>
      <c r="W137" s="37"/>
      <c r="X137" s="37">
        <v>1274.9100000000001</v>
      </c>
      <c r="Y137" s="37"/>
      <c r="Z137" s="37"/>
      <c r="AA137" s="37">
        <f t="shared" si="25"/>
        <v>1274.9100000000001</v>
      </c>
      <c r="AB137" s="33"/>
      <c r="AC137" s="33"/>
      <c r="AD137" s="33"/>
      <c r="AE137" s="33"/>
    </row>
    <row r="138" spans="1:31" x14ac:dyDescent="0.25">
      <c r="A138" s="3"/>
      <c r="B138" s="3"/>
      <c r="C138" s="3"/>
      <c r="D138" s="3"/>
      <c r="E138" s="3">
        <v>19</v>
      </c>
      <c r="F138" s="36" t="s">
        <v>486</v>
      </c>
      <c r="G138" s="37">
        <v>2699</v>
      </c>
      <c r="H138" s="37">
        <v>0</v>
      </c>
      <c r="I138" s="37">
        <v>0</v>
      </c>
      <c r="J138" s="37">
        <v>0</v>
      </c>
      <c r="K138" s="37">
        <v>0</v>
      </c>
      <c r="L138" s="37"/>
      <c r="M138" s="37"/>
      <c r="N138" s="37">
        <v>0</v>
      </c>
      <c r="O138" s="37">
        <v>0</v>
      </c>
      <c r="P138" s="37">
        <v>0</v>
      </c>
      <c r="Q138" s="37">
        <v>0</v>
      </c>
      <c r="R138" s="37">
        <v>0</v>
      </c>
      <c r="S138" s="37"/>
      <c r="T138" s="37"/>
      <c r="U138" s="37">
        <v>0</v>
      </c>
      <c r="V138" s="37">
        <f t="shared" si="24"/>
        <v>2699</v>
      </c>
      <c r="W138" s="37"/>
      <c r="X138" s="37">
        <v>2699</v>
      </c>
      <c r="Y138" s="37"/>
      <c r="Z138" s="37"/>
      <c r="AA138" s="37">
        <f t="shared" si="25"/>
        <v>2699</v>
      </c>
      <c r="AB138" s="33"/>
      <c r="AC138" s="33"/>
      <c r="AD138" s="33"/>
      <c r="AE138" s="33"/>
    </row>
    <row r="139" spans="1:31" x14ac:dyDescent="0.25">
      <c r="A139" s="3"/>
      <c r="B139" s="3"/>
      <c r="C139" s="3"/>
      <c r="D139" s="3"/>
      <c r="E139" s="3">
        <v>20</v>
      </c>
      <c r="F139" s="36" t="s">
        <v>545</v>
      </c>
      <c r="G139" s="37">
        <v>9920</v>
      </c>
      <c r="H139" s="37">
        <v>0</v>
      </c>
      <c r="I139" s="37">
        <v>0</v>
      </c>
      <c r="J139" s="37">
        <v>0</v>
      </c>
      <c r="K139" s="37">
        <v>0</v>
      </c>
      <c r="L139" s="37"/>
      <c r="M139" s="37"/>
      <c r="N139" s="37">
        <v>0</v>
      </c>
      <c r="O139" s="37">
        <v>0</v>
      </c>
      <c r="P139" s="37">
        <v>0</v>
      </c>
      <c r="Q139" s="37">
        <v>0</v>
      </c>
      <c r="R139" s="37">
        <v>0</v>
      </c>
      <c r="S139" s="37"/>
      <c r="T139" s="37"/>
      <c r="U139" s="37">
        <v>0</v>
      </c>
      <c r="V139" s="37">
        <f t="shared" si="24"/>
        <v>9920</v>
      </c>
      <c r="W139" s="37"/>
      <c r="X139" s="37">
        <v>9920</v>
      </c>
      <c r="Y139" s="37"/>
      <c r="Z139" s="37"/>
      <c r="AA139" s="37">
        <f t="shared" si="25"/>
        <v>9920</v>
      </c>
      <c r="AB139" s="33"/>
      <c r="AC139" s="33"/>
      <c r="AD139" s="33"/>
      <c r="AE139" s="33"/>
    </row>
    <row r="140" spans="1:31" x14ac:dyDescent="0.25">
      <c r="A140" s="35">
        <v>1</v>
      </c>
      <c r="B140" s="35">
        <v>2</v>
      </c>
      <c r="C140" s="3">
        <v>4</v>
      </c>
      <c r="D140" s="3">
        <v>2</v>
      </c>
      <c r="E140" s="3"/>
      <c r="F140" s="3" t="s">
        <v>132</v>
      </c>
      <c r="G140" s="30">
        <f>SUM(G141:G145)</f>
        <v>849685.39</v>
      </c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30">
        <f>SUM(V141:V145)</f>
        <v>849685.39</v>
      </c>
      <c r="W140" s="31"/>
      <c r="X140" s="30">
        <f>SUM(X141:X145)</f>
        <v>849685.39</v>
      </c>
      <c r="Y140" s="31"/>
      <c r="Z140" s="31"/>
      <c r="AA140" s="30">
        <f>SUM(AA141:AA145)</f>
        <v>849685.39</v>
      </c>
      <c r="AB140" s="33"/>
      <c r="AC140" s="33"/>
      <c r="AD140" s="33"/>
      <c r="AE140" s="33"/>
    </row>
    <row r="141" spans="1:31" x14ac:dyDescent="0.25">
      <c r="A141" s="33"/>
      <c r="B141" s="33"/>
      <c r="C141" s="3"/>
      <c r="D141" s="3"/>
      <c r="E141" s="3">
        <v>1</v>
      </c>
      <c r="F141" s="36" t="s">
        <v>487</v>
      </c>
      <c r="G141" s="37">
        <f>752484.09+1</f>
        <v>752485.09</v>
      </c>
      <c r="H141" s="37">
        <v>0</v>
      </c>
      <c r="I141" s="37">
        <v>0</v>
      </c>
      <c r="J141" s="37">
        <v>0</v>
      </c>
      <c r="K141" s="37">
        <v>0</v>
      </c>
      <c r="L141" s="37"/>
      <c r="M141" s="37"/>
      <c r="N141" s="37">
        <v>0</v>
      </c>
      <c r="O141" s="37">
        <v>0</v>
      </c>
      <c r="P141" s="37">
        <v>0</v>
      </c>
      <c r="Q141" s="37">
        <v>0</v>
      </c>
      <c r="R141" s="37">
        <v>0</v>
      </c>
      <c r="S141" s="37"/>
      <c r="T141" s="37"/>
      <c r="U141" s="37">
        <v>0</v>
      </c>
      <c r="V141" s="37">
        <f>+G141+N141-U141</f>
        <v>752485.09</v>
      </c>
      <c r="W141" s="37"/>
      <c r="X141" s="37">
        <f>752484.09+1</f>
        <v>752485.09</v>
      </c>
      <c r="Y141" s="37"/>
      <c r="Z141" s="37"/>
      <c r="AA141" s="37">
        <f t="shared" si="25"/>
        <v>752485.09</v>
      </c>
      <c r="AB141" s="33"/>
      <c r="AC141" s="33"/>
      <c r="AD141" s="33"/>
      <c r="AE141" s="33"/>
    </row>
    <row r="142" spans="1:31" x14ac:dyDescent="0.25">
      <c r="A142" s="33"/>
      <c r="B142" s="33"/>
      <c r="C142" s="3"/>
      <c r="D142" s="3"/>
      <c r="E142" s="3">
        <v>2</v>
      </c>
      <c r="F142" s="36" t="s">
        <v>488</v>
      </c>
      <c r="G142" s="37">
        <v>4800</v>
      </c>
      <c r="H142" s="37">
        <v>0</v>
      </c>
      <c r="I142" s="37">
        <v>0</v>
      </c>
      <c r="J142" s="37">
        <v>0</v>
      </c>
      <c r="K142" s="37">
        <v>0</v>
      </c>
      <c r="L142" s="37"/>
      <c r="M142" s="37"/>
      <c r="N142" s="37">
        <v>0</v>
      </c>
      <c r="O142" s="37">
        <v>0</v>
      </c>
      <c r="P142" s="37">
        <v>0</v>
      </c>
      <c r="Q142" s="37">
        <v>0</v>
      </c>
      <c r="R142" s="37">
        <v>0</v>
      </c>
      <c r="S142" s="37"/>
      <c r="T142" s="37"/>
      <c r="U142" s="37">
        <v>0</v>
      </c>
      <c r="V142" s="37">
        <f>+G142+N142-U142</f>
        <v>4800</v>
      </c>
      <c r="W142" s="37"/>
      <c r="X142" s="37">
        <v>4800</v>
      </c>
      <c r="Y142" s="37"/>
      <c r="Z142" s="37"/>
      <c r="AA142" s="37">
        <f t="shared" si="25"/>
        <v>4800</v>
      </c>
      <c r="AB142" s="33"/>
      <c r="AC142" s="33"/>
      <c r="AD142" s="33"/>
      <c r="AE142" s="33"/>
    </row>
    <row r="143" spans="1:31" x14ac:dyDescent="0.25">
      <c r="A143" s="33"/>
      <c r="B143" s="33"/>
      <c r="C143" s="3"/>
      <c r="D143" s="3"/>
      <c r="E143" s="3">
        <v>3</v>
      </c>
      <c r="F143" s="36" t="s">
        <v>489</v>
      </c>
      <c r="G143" s="37">
        <v>506</v>
      </c>
      <c r="H143" s="37">
        <v>0</v>
      </c>
      <c r="I143" s="37">
        <v>0</v>
      </c>
      <c r="J143" s="37">
        <v>0</v>
      </c>
      <c r="K143" s="37">
        <v>0</v>
      </c>
      <c r="L143" s="37"/>
      <c r="M143" s="37"/>
      <c r="N143" s="37">
        <v>0</v>
      </c>
      <c r="O143" s="37">
        <v>0</v>
      </c>
      <c r="P143" s="37">
        <v>0</v>
      </c>
      <c r="Q143" s="37">
        <v>0</v>
      </c>
      <c r="R143" s="37">
        <v>0</v>
      </c>
      <c r="S143" s="37"/>
      <c r="T143" s="37"/>
      <c r="U143" s="37">
        <v>0</v>
      </c>
      <c r="V143" s="37">
        <f>+G143+N143-U143</f>
        <v>506</v>
      </c>
      <c r="W143" s="37"/>
      <c r="X143" s="37">
        <v>506</v>
      </c>
      <c r="Y143" s="37"/>
      <c r="Z143" s="37"/>
      <c r="AA143" s="37">
        <f t="shared" si="25"/>
        <v>506</v>
      </c>
      <c r="AB143" s="33"/>
      <c r="AC143" s="33"/>
      <c r="AD143" s="33"/>
      <c r="AE143" s="33"/>
    </row>
    <row r="144" spans="1:31" x14ac:dyDescent="0.25">
      <c r="A144" s="33"/>
      <c r="B144" s="33"/>
      <c r="C144" s="3"/>
      <c r="D144" s="3"/>
      <c r="E144" s="3">
        <v>4</v>
      </c>
      <c r="F144" s="36" t="s">
        <v>490</v>
      </c>
      <c r="G144" s="37">
        <v>10667.5</v>
      </c>
      <c r="H144" s="37">
        <v>0</v>
      </c>
      <c r="I144" s="37">
        <v>0</v>
      </c>
      <c r="J144" s="37">
        <v>0</v>
      </c>
      <c r="K144" s="37">
        <v>0</v>
      </c>
      <c r="L144" s="37"/>
      <c r="M144" s="37"/>
      <c r="N144" s="37">
        <v>0</v>
      </c>
      <c r="O144" s="37">
        <v>0</v>
      </c>
      <c r="P144" s="37">
        <v>0</v>
      </c>
      <c r="Q144" s="37">
        <v>0</v>
      </c>
      <c r="R144" s="37">
        <v>0</v>
      </c>
      <c r="S144" s="37"/>
      <c r="T144" s="37"/>
      <c r="U144" s="37">
        <v>0</v>
      </c>
      <c r="V144" s="37">
        <f>+G144+N144-U144</f>
        <v>10667.5</v>
      </c>
      <c r="W144" s="37"/>
      <c r="X144" s="37">
        <v>10667.5</v>
      </c>
      <c r="Y144" s="37"/>
      <c r="Z144" s="37"/>
      <c r="AA144" s="37">
        <f t="shared" si="25"/>
        <v>10667.5</v>
      </c>
      <c r="AB144" s="33"/>
      <c r="AC144" s="33"/>
      <c r="AD144" s="33"/>
      <c r="AE144" s="33"/>
    </row>
    <row r="145" spans="1:31" x14ac:dyDescent="0.25">
      <c r="A145" s="33"/>
      <c r="B145" s="33"/>
      <c r="C145" s="3"/>
      <c r="D145" s="3"/>
      <c r="E145" s="3">
        <v>5</v>
      </c>
      <c r="F145" s="36" t="s">
        <v>491</v>
      </c>
      <c r="G145" s="37">
        <v>81226.8</v>
      </c>
      <c r="H145" s="37">
        <v>0</v>
      </c>
      <c r="I145" s="37">
        <v>0</v>
      </c>
      <c r="J145" s="37">
        <v>0</v>
      </c>
      <c r="K145" s="37">
        <v>0</v>
      </c>
      <c r="L145" s="37"/>
      <c r="M145" s="37"/>
      <c r="N145" s="37">
        <v>0</v>
      </c>
      <c r="O145" s="37">
        <v>0</v>
      </c>
      <c r="P145" s="37">
        <v>0</v>
      </c>
      <c r="Q145" s="37">
        <v>0</v>
      </c>
      <c r="R145" s="37">
        <v>0</v>
      </c>
      <c r="S145" s="37"/>
      <c r="T145" s="37"/>
      <c r="U145" s="37">
        <v>0</v>
      </c>
      <c r="V145" s="37">
        <f>+G145+N145-U145</f>
        <v>81226.8</v>
      </c>
      <c r="W145" s="37"/>
      <c r="X145" s="37">
        <v>81226.8</v>
      </c>
      <c r="Y145" s="37"/>
      <c r="Z145" s="37"/>
      <c r="AA145" s="37">
        <f t="shared" si="25"/>
        <v>81226.8</v>
      </c>
      <c r="AB145" s="33"/>
      <c r="AC145" s="33"/>
      <c r="AD145" s="33"/>
      <c r="AE145" s="33"/>
    </row>
    <row r="146" spans="1:31" x14ac:dyDescent="0.25">
      <c r="A146" s="35">
        <v>1</v>
      </c>
      <c r="B146" s="35">
        <v>2</v>
      </c>
      <c r="C146" s="3">
        <v>4</v>
      </c>
      <c r="D146" s="3">
        <v>3</v>
      </c>
      <c r="E146" s="3"/>
      <c r="F146" s="3" t="s">
        <v>133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3"/>
      <c r="AC146" s="33"/>
      <c r="AD146" s="33"/>
      <c r="AE146" s="33"/>
    </row>
    <row r="147" spans="1:31" x14ac:dyDescent="0.25">
      <c r="A147" s="35">
        <v>1</v>
      </c>
      <c r="B147" s="35">
        <v>2</v>
      </c>
      <c r="C147" s="3">
        <v>4</v>
      </c>
      <c r="D147" s="3">
        <v>4</v>
      </c>
      <c r="E147" s="3"/>
      <c r="F147" s="3" t="s">
        <v>134</v>
      </c>
      <c r="G147" s="30">
        <f>SUM(G148:G154)</f>
        <v>613500</v>
      </c>
      <c r="H147" s="30">
        <f>SUM(H148:H154)</f>
        <v>0</v>
      </c>
      <c r="I147" s="30">
        <f>SUM(I148:I154)</f>
        <v>0</v>
      </c>
      <c r="J147" s="30">
        <f>SUM(J148:J154)</f>
        <v>0</v>
      </c>
      <c r="K147" s="30">
        <f>SUM(K148:K154)</f>
        <v>0</v>
      </c>
      <c r="L147" s="30">
        <f>SUM(L148:L156)</f>
        <v>407400</v>
      </c>
      <c r="M147" s="30"/>
      <c r="N147" s="30">
        <f t="shared" ref="N147:V147" si="26">SUM(N148:N156)</f>
        <v>814800</v>
      </c>
      <c r="O147" s="30">
        <f t="shared" si="26"/>
        <v>0</v>
      </c>
      <c r="P147" s="30">
        <f t="shared" si="26"/>
        <v>0</v>
      </c>
      <c r="Q147" s="30">
        <f t="shared" si="26"/>
        <v>0</v>
      </c>
      <c r="R147" s="30">
        <f t="shared" si="26"/>
        <v>0</v>
      </c>
      <c r="S147" s="30">
        <f t="shared" si="26"/>
        <v>0</v>
      </c>
      <c r="T147" s="30"/>
      <c r="U147" s="30">
        <f t="shared" si="26"/>
        <v>711300</v>
      </c>
      <c r="V147" s="30">
        <f t="shared" si="26"/>
        <v>717000</v>
      </c>
      <c r="W147" s="30"/>
      <c r="X147" s="30">
        <f>SUM(X148:X154)</f>
        <v>613500</v>
      </c>
      <c r="Y147" s="30"/>
      <c r="Z147" s="30"/>
      <c r="AA147" s="30">
        <f>SUM(AA148:AA153)</f>
        <v>473800</v>
      </c>
      <c r="AB147" s="33"/>
      <c r="AC147" s="33"/>
      <c r="AD147" s="33"/>
      <c r="AE147" s="33"/>
    </row>
    <row r="148" spans="1:31" hidden="1" x14ac:dyDescent="0.25">
      <c r="A148" s="33"/>
      <c r="B148" s="33"/>
      <c r="C148" s="3"/>
      <c r="D148" s="3"/>
      <c r="E148" s="3"/>
      <c r="F148" s="36" t="s">
        <v>492</v>
      </c>
      <c r="G148" s="37">
        <v>0</v>
      </c>
      <c r="H148" s="37">
        <v>0</v>
      </c>
      <c r="I148" s="37">
        <v>0</v>
      </c>
      <c r="J148" s="37">
        <v>0</v>
      </c>
      <c r="K148" s="37">
        <v>0</v>
      </c>
      <c r="L148" s="37"/>
      <c r="M148" s="37"/>
      <c r="N148" s="37">
        <v>0</v>
      </c>
      <c r="O148" s="37">
        <v>0</v>
      </c>
      <c r="P148" s="37">
        <v>0</v>
      </c>
      <c r="Q148" s="37">
        <v>0</v>
      </c>
      <c r="R148" s="37">
        <v>0</v>
      </c>
      <c r="S148" s="37"/>
      <c r="T148" s="37"/>
      <c r="U148" s="37">
        <v>0</v>
      </c>
      <c r="V148" s="37">
        <f t="shared" ref="V148:V156" si="27">+G148+N148-U148</f>
        <v>0</v>
      </c>
      <c r="W148" s="37"/>
      <c r="X148" s="37">
        <v>0</v>
      </c>
      <c r="Y148" s="37"/>
      <c r="Z148" s="37"/>
      <c r="AA148" s="37">
        <f t="shared" ref="AA148:AA154" si="28">+X148+Y148-Z148</f>
        <v>0</v>
      </c>
      <c r="AB148" s="33"/>
      <c r="AC148" s="33"/>
      <c r="AD148" s="33"/>
      <c r="AE148" s="33"/>
    </row>
    <row r="149" spans="1:31" x14ac:dyDescent="0.25">
      <c r="A149" s="33"/>
      <c r="B149" s="33"/>
      <c r="C149" s="3"/>
      <c r="D149" s="3"/>
      <c r="E149" s="3"/>
      <c r="F149" s="36" t="s">
        <v>493</v>
      </c>
      <c r="G149" s="37">
        <v>169900</v>
      </c>
      <c r="H149" s="37">
        <v>0</v>
      </c>
      <c r="I149" s="37">
        <v>0</v>
      </c>
      <c r="J149" s="37">
        <v>0</v>
      </c>
      <c r="K149" s="37">
        <v>0</v>
      </c>
      <c r="L149" s="37"/>
      <c r="M149" s="37"/>
      <c r="N149" s="37">
        <v>0</v>
      </c>
      <c r="O149" s="37">
        <v>0</v>
      </c>
      <c r="P149" s="37">
        <v>0</v>
      </c>
      <c r="Q149" s="37">
        <v>0</v>
      </c>
      <c r="R149" s="37">
        <v>0</v>
      </c>
      <c r="S149" s="37"/>
      <c r="T149" s="37"/>
      <c r="U149" s="37">
        <v>0</v>
      </c>
      <c r="V149" s="37">
        <f t="shared" si="27"/>
        <v>169900</v>
      </c>
      <c r="W149" s="37"/>
      <c r="X149" s="37">
        <v>169900</v>
      </c>
      <c r="Y149" s="37"/>
      <c r="Z149" s="37"/>
      <c r="AA149" s="37">
        <f t="shared" si="28"/>
        <v>169900</v>
      </c>
      <c r="AB149" s="33"/>
      <c r="AC149" s="33"/>
      <c r="AD149" s="33"/>
      <c r="AE149" s="33"/>
    </row>
    <row r="150" spans="1:31" hidden="1" x14ac:dyDescent="0.25">
      <c r="A150" s="33"/>
      <c r="B150" s="33"/>
      <c r="C150" s="3"/>
      <c r="D150" s="3"/>
      <c r="E150" s="3"/>
      <c r="F150" s="36" t="s">
        <v>494</v>
      </c>
      <c r="G150" s="37">
        <v>0</v>
      </c>
      <c r="H150" s="37">
        <v>0</v>
      </c>
      <c r="I150" s="37">
        <v>0</v>
      </c>
      <c r="J150" s="37">
        <v>0</v>
      </c>
      <c r="K150" s="37">
        <v>0</v>
      </c>
      <c r="L150" s="37"/>
      <c r="M150" s="37"/>
      <c r="N150" s="37">
        <v>0</v>
      </c>
      <c r="O150" s="37">
        <v>0</v>
      </c>
      <c r="P150" s="37">
        <v>0</v>
      </c>
      <c r="Q150" s="37">
        <v>0</v>
      </c>
      <c r="R150" s="37">
        <v>0</v>
      </c>
      <c r="S150" s="37"/>
      <c r="T150" s="37"/>
      <c r="U150" s="37">
        <v>0</v>
      </c>
      <c r="V150" s="37">
        <f t="shared" si="27"/>
        <v>0</v>
      </c>
      <c r="W150" s="37"/>
      <c r="X150" s="37">
        <v>0</v>
      </c>
      <c r="Y150" s="37"/>
      <c r="Z150" s="37"/>
      <c r="AA150" s="37">
        <f t="shared" si="28"/>
        <v>0</v>
      </c>
      <c r="AB150" s="33"/>
      <c r="AC150" s="33"/>
      <c r="AD150" s="33"/>
      <c r="AE150" s="33"/>
    </row>
    <row r="151" spans="1:31" hidden="1" x14ac:dyDescent="0.25">
      <c r="A151" s="33"/>
      <c r="B151" s="33"/>
      <c r="C151" s="3"/>
      <c r="D151" s="3"/>
      <c r="E151" s="3"/>
      <c r="F151" s="36" t="s">
        <v>495</v>
      </c>
      <c r="G151" s="37">
        <v>0</v>
      </c>
      <c r="H151" s="37">
        <v>0</v>
      </c>
      <c r="I151" s="37">
        <v>0</v>
      </c>
      <c r="J151" s="37">
        <v>0</v>
      </c>
      <c r="K151" s="37">
        <v>0</v>
      </c>
      <c r="L151" s="37"/>
      <c r="M151" s="37"/>
      <c r="N151" s="37">
        <v>0</v>
      </c>
      <c r="O151" s="37">
        <v>0</v>
      </c>
      <c r="P151" s="37">
        <v>0</v>
      </c>
      <c r="Q151" s="37">
        <v>0</v>
      </c>
      <c r="R151" s="37">
        <v>0</v>
      </c>
      <c r="S151" s="37"/>
      <c r="T151" s="37"/>
      <c r="U151" s="37">
        <v>0</v>
      </c>
      <c r="V151" s="37">
        <f t="shared" si="27"/>
        <v>0</v>
      </c>
      <c r="W151" s="37"/>
      <c r="X151" s="37">
        <v>0</v>
      </c>
      <c r="Y151" s="37"/>
      <c r="Z151" s="37"/>
      <c r="AA151" s="37">
        <f t="shared" si="28"/>
        <v>0</v>
      </c>
      <c r="AB151" s="33"/>
      <c r="AC151" s="33"/>
      <c r="AD151" s="33"/>
      <c r="AE151" s="33"/>
    </row>
    <row r="152" spans="1:31" hidden="1" x14ac:dyDescent="0.25">
      <c r="A152" s="33"/>
      <c r="B152" s="33"/>
      <c r="C152" s="3"/>
      <c r="D152" s="3"/>
      <c r="E152" s="3"/>
      <c r="F152" s="36" t="s">
        <v>496</v>
      </c>
      <c r="G152" s="37">
        <v>0</v>
      </c>
      <c r="H152" s="37">
        <v>0</v>
      </c>
      <c r="I152" s="37">
        <v>0</v>
      </c>
      <c r="J152" s="37">
        <v>0</v>
      </c>
      <c r="K152" s="37">
        <v>0</v>
      </c>
      <c r="L152" s="37"/>
      <c r="M152" s="37"/>
      <c r="N152" s="37">
        <v>0</v>
      </c>
      <c r="O152" s="37">
        <v>0</v>
      </c>
      <c r="P152" s="37">
        <v>0</v>
      </c>
      <c r="Q152" s="37">
        <v>0</v>
      </c>
      <c r="R152" s="37">
        <v>0</v>
      </c>
      <c r="S152" s="37"/>
      <c r="T152" s="37"/>
      <c r="U152" s="37">
        <v>0</v>
      </c>
      <c r="V152" s="37">
        <f t="shared" si="27"/>
        <v>0</v>
      </c>
      <c r="W152" s="37"/>
      <c r="X152" s="37">
        <v>0</v>
      </c>
      <c r="Y152" s="37"/>
      <c r="Z152" s="37"/>
      <c r="AA152" s="37">
        <f t="shared" si="28"/>
        <v>0</v>
      </c>
      <c r="AB152" s="33"/>
      <c r="AC152" s="33"/>
      <c r="AD152" s="33"/>
      <c r="AE152" s="33"/>
    </row>
    <row r="153" spans="1:31" x14ac:dyDescent="0.25">
      <c r="A153" s="33"/>
      <c r="B153" s="33"/>
      <c r="C153" s="3"/>
      <c r="D153" s="3"/>
      <c r="E153" s="3"/>
      <c r="F153" s="36" t="s">
        <v>497</v>
      </c>
      <c r="G153" s="37">
        <v>303900</v>
      </c>
      <c r="H153" s="37">
        <v>0</v>
      </c>
      <c r="I153" s="37">
        <v>0</v>
      </c>
      <c r="J153" s="37">
        <v>0</v>
      </c>
      <c r="K153" s="37">
        <v>0</v>
      </c>
      <c r="L153" s="37"/>
      <c r="M153" s="37"/>
      <c r="N153" s="37">
        <v>0</v>
      </c>
      <c r="O153" s="37">
        <v>0</v>
      </c>
      <c r="P153" s="37">
        <v>0</v>
      </c>
      <c r="Q153" s="37">
        <v>0</v>
      </c>
      <c r="R153" s="37">
        <v>0</v>
      </c>
      <c r="S153" s="37"/>
      <c r="T153" s="37"/>
      <c r="U153" s="37">
        <v>303900</v>
      </c>
      <c r="V153" s="37">
        <f t="shared" si="27"/>
        <v>0</v>
      </c>
      <c r="W153" s="37"/>
      <c r="X153" s="37">
        <v>303900</v>
      </c>
      <c r="Y153" s="37"/>
      <c r="Z153" s="37"/>
      <c r="AA153" s="37">
        <f t="shared" si="28"/>
        <v>303900</v>
      </c>
      <c r="AB153" s="33"/>
      <c r="AC153" s="33"/>
      <c r="AD153" s="33"/>
      <c r="AE153" s="33"/>
    </row>
    <row r="154" spans="1:31" x14ac:dyDescent="0.25">
      <c r="A154" s="33"/>
      <c r="B154" s="33"/>
      <c r="C154" s="3"/>
      <c r="D154" s="3"/>
      <c r="E154" s="3"/>
      <c r="F154" s="36" t="s">
        <v>579</v>
      </c>
      <c r="G154" s="37">
        <v>139700</v>
      </c>
      <c r="H154" s="37">
        <v>0</v>
      </c>
      <c r="I154" s="37">
        <v>0</v>
      </c>
      <c r="J154" s="37">
        <v>0</v>
      </c>
      <c r="K154" s="37">
        <v>0</v>
      </c>
      <c r="L154" s="37"/>
      <c r="M154" s="37"/>
      <c r="N154" s="37">
        <v>0</v>
      </c>
      <c r="O154" s="37">
        <v>0</v>
      </c>
      <c r="P154" s="37">
        <v>0</v>
      </c>
      <c r="Q154" s="37">
        <v>0</v>
      </c>
      <c r="R154" s="37">
        <v>0</v>
      </c>
      <c r="S154" s="37"/>
      <c r="T154" s="37"/>
      <c r="U154" s="37">
        <v>0</v>
      </c>
      <c r="V154" s="37">
        <f t="shared" si="27"/>
        <v>139700</v>
      </c>
      <c r="W154" s="37"/>
      <c r="X154" s="37">
        <v>139700</v>
      </c>
      <c r="Y154" s="37"/>
      <c r="Z154" s="37"/>
      <c r="AA154" s="37">
        <f t="shared" si="28"/>
        <v>139700</v>
      </c>
      <c r="AB154" s="33"/>
      <c r="AC154" s="33"/>
      <c r="AD154" s="33"/>
      <c r="AE154" s="33"/>
    </row>
    <row r="155" spans="1:31" x14ac:dyDescent="0.25">
      <c r="A155" s="33"/>
      <c r="B155" s="33"/>
      <c r="C155" s="3"/>
      <c r="D155" s="3"/>
      <c r="E155" s="3"/>
      <c r="F155" s="36" t="s">
        <v>842</v>
      </c>
      <c r="G155" s="37"/>
      <c r="H155" s="37">
        <v>0</v>
      </c>
      <c r="I155" s="37">
        <v>0</v>
      </c>
      <c r="J155" s="37">
        <v>0</v>
      </c>
      <c r="K155" s="37">
        <v>0</v>
      </c>
      <c r="L155" s="37">
        <v>178500</v>
      </c>
      <c r="M155" s="37">
        <v>178500</v>
      </c>
      <c r="N155" s="16">
        <f>SUM(H155:M155)</f>
        <v>357000</v>
      </c>
      <c r="O155" s="37">
        <v>0</v>
      </c>
      <c r="P155" s="37">
        <v>0</v>
      </c>
      <c r="Q155" s="37">
        <v>0</v>
      </c>
      <c r="R155" s="37">
        <v>0</v>
      </c>
      <c r="S155" s="37"/>
      <c r="T155" s="37">
        <v>178500</v>
      </c>
      <c r="U155" s="37">
        <v>178500</v>
      </c>
      <c r="V155" s="37">
        <f t="shared" si="27"/>
        <v>178500</v>
      </c>
      <c r="W155" s="37"/>
      <c r="X155" s="37"/>
      <c r="Y155" s="37"/>
      <c r="Z155" s="37"/>
      <c r="AA155" s="37"/>
      <c r="AB155" s="33"/>
      <c r="AC155" s="33"/>
      <c r="AD155" s="33"/>
      <c r="AE155" s="33"/>
    </row>
    <row r="156" spans="1:31" x14ac:dyDescent="0.25">
      <c r="A156" s="33"/>
      <c r="B156" s="33"/>
      <c r="C156" s="3"/>
      <c r="D156" s="3"/>
      <c r="E156" s="3"/>
      <c r="F156" s="36" t="s">
        <v>843</v>
      </c>
      <c r="G156" s="37"/>
      <c r="H156" s="37"/>
      <c r="I156" s="37"/>
      <c r="J156" s="37"/>
      <c r="K156" s="37"/>
      <c r="L156" s="37">
        <v>228900</v>
      </c>
      <c r="M156" s="37">
        <v>228900</v>
      </c>
      <c r="N156" s="16">
        <f>SUM(H156:M156)</f>
        <v>457800</v>
      </c>
      <c r="O156" s="37">
        <v>0</v>
      </c>
      <c r="P156" s="37">
        <v>0</v>
      </c>
      <c r="Q156" s="37">
        <v>0</v>
      </c>
      <c r="R156" s="37">
        <v>0</v>
      </c>
      <c r="S156" s="37"/>
      <c r="T156" s="37">
        <v>228900</v>
      </c>
      <c r="U156" s="37">
        <v>228900</v>
      </c>
      <c r="V156" s="37">
        <f t="shared" si="27"/>
        <v>228900</v>
      </c>
      <c r="W156" s="37"/>
      <c r="X156" s="37"/>
      <c r="Y156" s="37"/>
      <c r="Z156" s="37"/>
      <c r="AA156" s="37"/>
      <c r="AB156" s="33"/>
      <c r="AC156" s="33"/>
      <c r="AD156" s="33"/>
      <c r="AE156" s="33"/>
    </row>
    <row r="157" spans="1:31" x14ac:dyDescent="0.25">
      <c r="A157" s="35">
        <v>1</v>
      </c>
      <c r="B157" s="35">
        <v>2</v>
      </c>
      <c r="C157" s="3">
        <v>4</v>
      </c>
      <c r="D157" s="3">
        <v>5</v>
      </c>
      <c r="E157" s="3"/>
      <c r="F157" s="3" t="s">
        <v>135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3"/>
      <c r="AC157" s="33"/>
      <c r="AD157" s="33"/>
      <c r="AE157" s="33"/>
    </row>
    <row r="158" spans="1:31" x14ac:dyDescent="0.25">
      <c r="A158" s="35">
        <v>1</v>
      </c>
      <c r="B158" s="35">
        <v>2</v>
      </c>
      <c r="C158" s="3">
        <v>4</v>
      </c>
      <c r="D158" s="3">
        <v>6</v>
      </c>
      <c r="E158" s="3"/>
      <c r="F158" s="3" t="s">
        <v>136</v>
      </c>
      <c r="G158" s="30">
        <f t="shared" ref="G158:R158" si="29">SUM(G159:G215)</f>
        <v>733340.71000000008</v>
      </c>
      <c r="H158" s="30">
        <f t="shared" si="29"/>
        <v>0</v>
      </c>
      <c r="I158" s="30">
        <f t="shared" si="29"/>
        <v>0</v>
      </c>
      <c r="J158" s="30">
        <f t="shared" si="29"/>
        <v>0</v>
      </c>
      <c r="K158" s="30">
        <f t="shared" si="29"/>
        <v>0</v>
      </c>
      <c r="L158" s="30">
        <f t="shared" si="29"/>
        <v>17430</v>
      </c>
      <c r="M158" s="30"/>
      <c r="N158" s="30">
        <f t="shared" si="29"/>
        <v>34860</v>
      </c>
      <c r="O158" s="30">
        <f t="shared" si="29"/>
        <v>143563.5</v>
      </c>
      <c r="P158" s="30">
        <f t="shared" si="29"/>
        <v>0</v>
      </c>
      <c r="Q158" s="30">
        <f t="shared" si="29"/>
        <v>0</v>
      </c>
      <c r="R158" s="30">
        <f t="shared" si="29"/>
        <v>0</v>
      </c>
      <c r="S158" s="30"/>
      <c r="T158" s="30"/>
      <c r="U158" s="30">
        <f>SUM(U159:U215)</f>
        <v>160993.5</v>
      </c>
      <c r="V158" s="30">
        <f>SUM(V159:V215)</f>
        <v>607207.21000000008</v>
      </c>
      <c r="W158" s="30"/>
      <c r="X158" s="30">
        <f>SUM(X159:X215)</f>
        <v>736240.71000000008</v>
      </c>
      <c r="Y158" s="30"/>
      <c r="Z158" s="30"/>
      <c r="AA158" s="30">
        <f>SUM(AA159:AA215)</f>
        <v>736240.71000000008</v>
      </c>
      <c r="AB158" s="33"/>
      <c r="AC158" s="33"/>
      <c r="AD158" s="33"/>
      <c r="AE158" s="33"/>
    </row>
    <row r="159" spans="1:31" x14ac:dyDescent="0.25">
      <c r="A159" s="33"/>
      <c r="B159" s="33"/>
      <c r="C159" s="3"/>
      <c r="D159" s="3"/>
      <c r="E159" s="3">
        <v>1</v>
      </c>
      <c r="F159" s="36" t="s">
        <v>498</v>
      </c>
      <c r="G159" s="37">
        <v>12834.77</v>
      </c>
      <c r="H159" s="37">
        <v>0</v>
      </c>
      <c r="I159" s="37">
        <v>0</v>
      </c>
      <c r="J159" s="37">
        <v>0</v>
      </c>
      <c r="K159" s="37">
        <v>0</v>
      </c>
      <c r="L159" s="37"/>
      <c r="M159" s="37"/>
      <c r="N159" s="37">
        <v>0</v>
      </c>
      <c r="O159" s="37">
        <v>0</v>
      </c>
      <c r="P159" s="37">
        <v>0</v>
      </c>
      <c r="Q159" s="37">
        <v>0</v>
      </c>
      <c r="R159" s="37">
        <v>0</v>
      </c>
      <c r="S159" s="37"/>
      <c r="T159" s="37"/>
      <c r="U159" s="37">
        <v>0</v>
      </c>
      <c r="V159" s="37">
        <f t="shared" ref="V159:V215" si="30">+G159+N159-U159</f>
        <v>12834.77</v>
      </c>
      <c r="W159" s="37"/>
      <c r="X159" s="37">
        <v>12834.77</v>
      </c>
      <c r="Y159" s="37"/>
      <c r="Z159" s="37"/>
      <c r="AA159" s="37">
        <f t="shared" ref="AA159:AA215" si="31">+X159+Y159-Z159</f>
        <v>12834.77</v>
      </c>
      <c r="AB159" s="33"/>
      <c r="AC159" s="33"/>
      <c r="AD159" s="33"/>
      <c r="AE159" s="33"/>
    </row>
    <row r="160" spans="1:31" x14ac:dyDescent="0.25">
      <c r="A160" s="33"/>
      <c r="B160" s="33"/>
      <c r="C160" s="3"/>
      <c r="D160" s="3"/>
      <c r="E160" s="3">
        <v>2</v>
      </c>
      <c r="F160" s="36" t="s">
        <v>499</v>
      </c>
      <c r="G160" s="37">
        <v>22712.5</v>
      </c>
      <c r="H160" s="37">
        <v>0</v>
      </c>
      <c r="I160" s="37">
        <v>0</v>
      </c>
      <c r="J160" s="37">
        <v>0</v>
      </c>
      <c r="K160" s="37">
        <v>0</v>
      </c>
      <c r="L160" s="37"/>
      <c r="M160" s="37"/>
      <c r="N160" s="37">
        <v>0</v>
      </c>
      <c r="O160" s="37">
        <v>22712.5</v>
      </c>
      <c r="P160" s="37"/>
      <c r="Q160" s="37"/>
      <c r="R160" s="37"/>
      <c r="S160" s="37"/>
      <c r="T160" s="37"/>
      <c r="U160" s="37">
        <v>22712.5</v>
      </c>
      <c r="V160" s="37">
        <f t="shared" si="30"/>
        <v>0</v>
      </c>
      <c r="W160" s="37"/>
      <c r="X160" s="37">
        <v>22712.5</v>
      </c>
      <c r="Y160" s="37"/>
      <c r="Z160" s="37"/>
      <c r="AA160" s="37">
        <f t="shared" si="31"/>
        <v>22712.5</v>
      </c>
      <c r="AB160" s="33"/>
      <c r="AC160" s="33"/>
      <c r="AD160" s="33"/>
      <c r="AE160" s="33"/>
    </row>
    <row r="161" spans="1:31" x14ac:dyDescent="0.25">
      <c r="A161" s="33"/>
      <c r="B161" s="33"/>
      <c r="C161" s="3"/>
      <c r="D161" s="3"/>
      <c r="E161" s="3">
        <v>3</v>
      </c>
      <c r="F161" s="36" t="s">
        <v>500</v>
      </c>
      <c r="G161" s="37">
        <v>69147.199999999997</v>
      </c>
      <c r="H161" s="37">
        <v>0</v>
      </c>
      <c r="I161" s="37">
        <v>0</v>
      </c>
      <c r="J161" s="37">
        <v>0</v>
      </c>
      <c r="K161" s="37">
        <v>0</v>
      </c>
      <c r="L161" s="37"/>
      <c r="M161" s="37"/>
      <c r="N161" s="37">
        <v>0</v>
      </c>
      <c r="O161" s="37">
        <v>0</v>
      </c>
      <c r="P161" s="37"/>
      <c r="Q161" s="37"/>
      <c r="R161" s="37"/>
      <c r="S161" s="37"/>
      <c r="T161" s="37"/>
      <c r="U161" s="37">
        <v>0</v>
      </c>
      <c r="V161" s="37">
        <f t="shared" si="30"/>
        <v>69147.199999999997</v>
      </c>
      <c r="W161" s="37"/>
      <c r="X161" s="37">
        <v>69147.199999999997</v>
      </c>
      <c r="Y161" s="37"/>
      <c r="Z161" s="37"/>
      <c r="AA161" s="37">
        <f t="shared" si="31"/>
        <v>69147.199999999997</v>
      </c>
      <c r="AB161" s="33"/>
      <c r="AC161" s="33"/>
      <c r="AD161" s="33"/>
      <c r="AE161" s="33"/>
    </row>
    <row r="162" spans="1:31" x14ac:dyDescent="0.25">
      <c r="A162" s="33"/>
      <c r="B162" s="33"/>
      <c r="C162" s="3"/>
      <c r="D162" s="3"/>
      <c r="E162" s="3">
        <v>4</v>
      </c>
      <c r="F162" s="36" t="s">
        <v>501</v>
      </c>
      <c r="G162" s="37">
        <v>2547.25</v>
      </c>
      <c r="H162" s="37">
        <v>0</v>
      </c>
      <c r="I162" s="37">
        <v>0</v>
      </c>
      <c r="J162" s="37">
        <v>0</v>
      </c>
      <c r="K162" s="37">
        <v>0</v>
      </c>
      <c r="L162" s="37"/>
      <c r="M162" s="37"/>
      <c r="N162" s="37">
        <v>0</v>
      </c>
      <c r="O162" s="37">
        <v>2547</v>
      </c>
      <c r="P162" s="37"/>
      <c r="Q162" s="37"/>
      <c r="R162" s="37"/>
      <c r="S162" s="37"/>
      <c r="T162" s="37"/>
      <c r="U162" s="37">
        <v>2547</v>
      </c>
      <c r="V162" s="37">
        <f t="shared" si="30"/>
        <v>0.25</v>
      </c>
      <c r="W162" s="37"/>
      <c r="X162" s="37">
        <v>2547.25</v>
      </c>
      <c r="Y162" s="37"/>
      <c r="Z162" s="37"/>
      <c r="AA162" s="37">
        <f t="shared" si="31"/>
        <v>2547.25</v>
      </c>
      <c r="AB162" s="33"/>
      <c r="AC162" s="33"/>
      <c r="AD162" s="33"/>
      <c r="AE162" s="33"/>
    </row>
    <row r="163" spans="1:31" x14ac:dyDescent="0.25">
      <c r="A163" s="33"/>
      <c r="B163" s="33"/>
      <c r="C163" s="3"/>
      <c r="D163" s="3"/>
      <c r="E163" s="3">
        <v>5</v>
      </c>
      <c r="F163" s="36" t="s">
        <v>502</v>
      </c>
      <c r="G163" s="37">
        <v>46977.5</v>
      </c>
      <c r="H163" s="37">
        <v>0</v>
      </c>
      <c r="I163" s="37">
        <v>0</v>
      </c>
      <c r="J163" s="37">
        <v>0</v>
      </c>
      <c r="K163" s="37">
        <v>0</v>
      </c>
      <c r="L163" s="37"/>
      <c r="M163" s="37"/>
      <c r="N163" s="37">
        <v>0</v>
      </c>
      <c r="O163" s="37">
        <v>18688</v>
      </c>
      <c r="P163" s="37"/>
      <c r="Q163" s="37"/>
      <c r="R163" s="37"/>
      <c r="S163" s="37"/>
      <c r="T163" s="37"/>
      <c r="U163" s="37">
        <v>18688</v>
      </c>
      <c r="V163" s="37">
        <f t="shared" si="30"/>
        <v>28289.5</v>
      </c>
      <c r="W163" s="37"/>
      <c r="X163" s="37">
        <v>46977.5</v>
      </c>
      <c r="Y163" s="37"/>
      <c r="Z163" s="37"/>
      <c r="AA163" s="37">
        <f t="shared" si="31"/>
        <v>46977.5</v>
      </c>
      <c r="AB163" s="33"/>
      <c r="AC163" s="33"/>
      <c r="AD163" s="33"/>
      <c r="AE163" s="33"/>
    </row>
    <row r="164" spans="1:31" x14ac:dyDescent="0.25">
      <c r="A164" s="33"/>
      <c r="B164" s="33"/>
      <c r="C164" s="3"/>
      <c r="D164" s="3"/>
      <c r="E164" s="3">
        <v>6</v>
      </c>
      <c r="F164" s="36" t="s">
        <v>503</v>
      </c>
      <c r="G164" s="37">
        <v>21620</v>
      </c>
      <c r="H164" s="37">
        <v>0</v>
      </c>
      <c r="I164" s="37">
        <v>0</v>
      </c>
      <c r="J164" s="37">
        <v>0</v>
      </c>
      <c r="K164" s="37">
        <v>0</v>
      </c>
      <c r="L164" s="37"/>
      <c r="M164" s="37"/>
      <c r="N164" s="37">
        <v>0</v>
      </c>
      <c r="O164" s="37">
        <v>0</v>
      </c>
      <c r="P164" s="37"/>
      <c r="Q164" s="37"/>
      <c r="R164" s="37"/>
      <c r="S164" s="37"/>
      <c r="T164" s="37"/>
      <c r="U164" s="37">
        <v>0</v>
      </c>
      <c r="V164" s="37">
        <f t="shared" si="30"/>
        <v>21620</v>
      </c>
      <c r="W164" s="37"/>
      <c r="X164" s="37">
        <v>21620</v>
      </c>
      <c r="Y164" s="37"/>
      <c r="Z164" s="37"/>
      <c r="AA164" s="37">
        <f t="shared" si="31"/>
        <v>21620</v>
      </c>
      <c r="AB164" s="33"/>
      <c r="AC164" s="33"/>
      <c r="AD164" s="33"/>
      <c r="AE164" s="33"/>
    </row>
    <row r="165" spans="1:31" x14ac:dyDescent="0.25">
      <c r="A165" s="33"/>
      <c r="B165" s="33"/>
      <c r="C165" s="3"/>
      <c r="D165" s="3"/>
      <c r="E165" s="3">
        <v>7</v>
      </c>
      <c r="F165" s="36" t="s">
        <v>504</v>
      </c>
      <c r="G165" s="37">
        <v>690</v>
      </c>
      <c r="H165" s="37">
        <v>0</v>
      </c>
      <c r="I165" s="37">
        <v>0</v>
      </c>
      <c r="J165" s="37">
        <v>0</v>
      </c>
      <c r="K165" s="37">
        <v>0</v>
      </c>
      <c r="L165" s="37"/>
      <c r="M165" s="37"/>
      <c r="N165" s="37">
        <v>0</v>
      </c>
      <c r="O165" s="37">
        <v>0</v>
      </c>
      <c r="P165" s="37"/>
      <c r="Q165" s="37"/>
      <c r="R165" s="37"/>
      <c r="S165" s="37"/>
      <c r="T165" s="37"/>
      <c r="U165" s="37">
        <v>0</v>
      </c>
      <c r="V165" s="37">
        <f t="shared" si="30"/>
        <v>690</v>
      </c>
      <c r="W165" s="37"/>
      <c r="X165" s="37">
        <v>690</v>
      </c>
      <c r="Y165" s="37"/>
      <c r="Z165" s="37"/>
      <c r="AA165" s="37">
        <f t="shared" si="31"/>
        <v>690</v>
      </c>
      <c r="AB165" s="33"/>
      <c r="AC165" s="33"/>
      <c r="AD165" s="33"/>
      <c r="AE165" s="33"/>
    </row>
    <row r="166" spans="1:31" x14ac:dyDescent="0.25">
      <c r="A166" s="33"/>
      <c r="B166" s="33"/>
      <c r="C166" s="3"/>
      <c r="D166" s="3"/>
      <c r="E166" s="3">
        <v>8</v>
      </c>
      <c r="F166" s="36" t="s">
        <v>505</v>
      </c>
      <c r="G166" s="37">
        <v>1150</v>
      </c>
      <c r="H166" s="37">
        <v>0</v>
      </c>
      <c r="I166" s="37">
        <v>0</v>
      </c>
      <c r="J166" s="37">
        <v>0</v>
      </c>
      <c r="K166" s="37">
        <v>0</v>
      </c>
      <c r="L166" s="37"/>
      <c r="M166" s="37"/>
      <c r="N166" s="37">
        <v>0</v>
      </c>
      <c r="O166" s="37">
        <v>0</v>
      </c>
      <c r="P166" s="37"/>
      <c r="Q166" s="37"/>
      <c r="R166" s="37"/>
      <c r="S166" s="37"/>
      <c r="T166" s="37"/>
      <c r="U166" s="37">
        <v>0</v>
      </c>
      <c r="V166" s="37">
        <f t="shared" si="30"/>
        <v>1150</v>
      </c>
      <c r="W166" s="37"/>
      <c r="X166" s="37">
        <v>1150</v>
      </c>
      <c r="Y166" s="37"/>
      <c r="Z166" s="37"/>
      <c r="AA166" s="37">
        <f t="shared" si="31"/>
        <v>1150</v>
      </c>
      <c r="AB166" s="33"/>
      <c r="AC166" s="33"/>
      <c r="AD166" s="33"/>
      <c r="AE166" s="33"/>
    </row>
    <row r="167" spans="1:31" x14ac:dyDescent="0.25">
      <c r="A167" s="33"/>
      <c r="B167" s="33"/>
      <c r="C167" s="3"/>
      <c r="D167" s="3"/>
      <c r="E167" s="3">
        <v>9</v>
      </c>
      <c r="F167" s="36" t="s">
        <v>506</v>
      </c>
      <c r="G167" s="37">
        <v>120367.62</v>
      </c>
      <c r="H167" s="37">
        <v>0</v>
      </c>
      <c r="I167" s="37">
        <v>0</v>
      </c>
      <c r="J167" s="37">
        <v>0</v>
      </c>
      <c r="K167" s="37">
        <v>0</v>
      </c>
      <c r="L167" s="37"/>
      <c r="M167" s="37"/>
      <c r="N167" s="37">
        <v>0</v>
      </c>
      <c r="O167" s="37">
        <v>0</v>
      </c>
      <c r="P167" s="37"/>
      <c r="Q167" s="37"/>
      <c r="R167" s="37"/>
      <c r="S167" s="37"/>
      <c r="T167" s="37"/>
      <c r="U167" s="37">
        <v>0</v>
      </c>
      <c r="V167" s="37">
        <f t="shared" si="30"/>
        <v>120367.62</v>
      </c>
      <c r="W167" s="37"/>
      <c r="X167" s="37">
        <v>120367.62</v>
      </c>
      <c r="Y167" s="37"/>
      <c r="Z167" s="37"/>
      <c r="AA167" s="37">
        <f t="shared" si="31"/>
        <v>120367.62</v>
      </c>
      <c r="AB167" s="33"/>
      <c r="AC167" s="33"/>
      <c r="AD167" s="33"/>
      <c r="AE167" s="33"/>
    </row>
    <row r="168" spans="1:31" x14ac:dyDescent="0.25">
      <c r="A168" s="33"/>
      <c r="B168" s="33"/>
      <c r="C168" s="3"/>
      <c r="D168" s="3"/>
      <c r="E168" s="3">
        <v>10</v>
      </c>
      <c r="F168" s="36" t="s">
        <v>507</v>
      </c>
      <c r="G168" s="37">
        <v>1299.01</v>
      </c>
      <c r="H168" s="37">
        <v>0</v>
      </c>
      <c r="I168" s="37">
        <v>0</v>
      </c>
      <c r="J168" s="37">
        <v>0</v>
      </c>
      <c r="K168" s="37">
        <v>0</v>
      </c>
      <c r="L168" s="37"/>
      <c r="M168" s="37"/>
      <c r="N168" s="37">
        <v>0</v>
      </c>
      <c r="O168" s="37">
        <v>0</v>
      </c>
      <c r="P168" s="37"/>
      <c r="Q168" s="37"/>
      <c r="R168" s="37"/>
      <c r="S168" s="37"/>
      <c r="T168" s="37"/>
      <c r="U168" s="37">
        <v>0</v>
      </c>
      <c r="V168" s="37">
        <f t="shared" si="30"/>
        <v>1299.01</v>
      </c>
      <c r="W168" s="37"/>
      <c r="X168" s="37">
        <v>1299.01</v>
      </c>
      <c r="Y168" s="37"/>
      <c r="Z168" s="37"/>
      <c r="AA168" s="37">
        <f t="shared" si="31"/>
        <v>1299.01</v>
      </c>
      <c r="AB168" s="33"/>
      <c r="AC168" s="33"/>
      <c r="AD168" s="33"/>
      <c r="AE168" s="33"/>
    </row>
    <row r="169" spans="1:31" x14ac:dyDescent="0.25">
      <c r="A169" s="33"/>
      <c r="B169" s="33"/>
      <c r="C169" s="3"/>
      <c r="D169" s="3"/>
      <c r="E169" s="3">
        <v>11</v>
      </c>
      <c r="F169" s="36" t="s">
        <v>508</v>
      </c>
      <c r="G169" s="37">
        <v>1849</v>
      </c>
      <c r="H169" s="37">
        <v>0</v>
      </c>
      <c r="I169" s="37">
        <v>0</v>
      </c>
      <c r="J169" s="37">
        <v>0</v>
      </c>
      <c r="K169" s="37">
        <v>0</v>
      </c>
      <c r="L169" s="37"/>
      <c r="M169" s="37"/>
      <c r="N169" s="37">
        <v>0</v>
      </c>
      <c r="O169" s="37">
        <v>0</v>
      </c>
      <c r="P169" s="37"/>
      <c r="Q169" s="37"/>
      <c r="R169" s="37"/>
      <c r="S169" s="37"/>
      <c r="T169" s="37"/>
      <c r="U169" s="37">
        <v>0</v>
      </c>
      <c r="V169" s="37">
        <f t="shared" si="30"/>
        <v>1849</v>
      </c>
      <c r="W169" s="37"/>
      <c r="X169" s="37">
        <v>1849</v>
      </c>
      <c r="Y169" s="37"/>
      <c r="Z169" s="37"/>
      <c r="AA169" s="37">
        <f t="shared" si="31"/>
        <v>1849</v>
      </c>
      <c r="AB169" s="33"/>
      <c r="AC169" s="33"/>
      <c r="AD169" s="33"/>
      <c r="AE169" s="33"/>
    </row>
    <row r="170" spans="1:31" x14ac:dyDescent="0.25">
      <c r="A170" s="33"/>
      <c r="B170" s="33"/>
      <c r="C170" s="3"/>
      <c r="D170" s="3"/>
      <c r="E170" s="3">
        <v>12</v>
      </c>
      <c r="F170" s="36" t="s">
        <v>509</v>
      </c>
      <c r="G170" s="37">
        <v>16499</v>
      </c>
      <c r="H170" s="37">
        <v>0</v>
      </c>
      <c r="I170" s="37">
        <v>0</v>
      </c>
      <c r="J170" s="37">
        <v>0</v>
      </c>
      <c r="K170" s="37">
        <v>0</v>
      </c>
      <c r="L170" s="37"/>
      <c r="M170" s="37"/>
      <c r="N170" s="37">
        <v>0</v>
      </c>
      <c r="O170" s="37">
        <v>0</v>
      </c>
      <c r="P170" s="37"/>
      <c r="Q170" s="37"/>
      <c r="R170" s="37"/>
      <c r="S170" s="37"/>
      <c r="T170" s="37"/>
      <c r="U170" s="37">
        <v>0</v>
      </c>
      <c r="V170" s="37">
        <f t="shared" si="30"/>
        <v>16499</v>
      </c>
      <c r="W170" s="37"/>
      <c r="X170" s="37">
        <v>16499</v>
      </c>
      <c r="Y170" s="37"/>
      <c r="Z170" s="37"/>
      <c r="AA170" s="37">
        <f t="shared" si="31"/>
        <v>16499</v>
      </c>
      <c r="AB170" s="33"/>
      <c r="AC170" s="33"/>
      <c r="AD170" s="33"/>
      <c r="AE170" s="33"/>
    </row>
    <row r="171" spans="1:31" x14ac:dyDescent="0.25">
      <c r="A171" s="33"/>
      <c r="B171" s="33"/>
      <c r="C171" s="3"/>
      <c r="D171" s="3"/>
      <c r="E171" s="3">
        <v>13</v>
      </c>
      <c r="F171" s="36" t="s">
        <v>510</v>
      </c>
      <c r="G171" s="37">
        <v>6250</v>
      </c>
      <c r="H171" s="37">
        <v>0</v>
      </c>
      <c r="I171" s="37">
        <v>0</v>
      </c>
      <c r="J171" s="37">
        <v>0</v>
      </c>
      <c r="K171" s="37">
        <v>0</v>
      </c>
      <c r="L171" s="37"/>
      <c r="M171" s="37"/>
      <c r="N171" s="37">
        <v>0</v>
      </c>
      <c r="O171" s="37">
        <v>6250</v>
      </c>
      <c r="P171" s="37"/>
      <c r="Q171" s="37"/>
      <c r="R171" s="37"/>
      <c r="S171" s="37"/>
      <c r="T171" s="37"/>
      <c r="U171" s="37">
        <v>6250</v>
      </c>
      <c r="V171" s="37">
        <f t="shared" si="30"/>
        <v>0</v>
      </c>
      <c r="W171" s="37"/>
      <c r="X171" s="37">
        <v>6250</v>
      </c>
      <c r="Y171" s="37"/>
      <c r="Z171" s="37"/>
      <c r="AA171" s="37">
        <f t="shared" si="31"/>
        <v>6250</v>
      </c>
      <c r="AB171" s="33"/>
      <c r="AC171" s="33"/>
      <c r="AD171" s="33"/>
      <c r="AE171" s="33"/>
    </row>
    <row r="172" spans="1:31" x14ac:dyDescent="0.25">
      <c r="A172" s="33"/>
      <c r="B172" s="33"/>
      <c r="C172" s="3"/>
      <c r="D172" s="3"/>
      <c r="E172" s="3">
        <v>14</v>
      </c>
      <c r="F172" s="36" t="s">
        <v>510</v>
      </c>
      <c r="G172" s="37">
        <v>6250</v>
      </c>
      <c r="H172" s="37">
        <v>0</v>
      </c>
      <c r="I172" s="37">
        <v>0</v>
      </c>
      <c r="J172" s="37">
        <v>0</v>
      </c>
      <c r="K172" s="37">
        <v>0</v>
      </c>
      <c r="L172" s="37"/>
      <c r="M172" s="37"/>
      <c r="N172" s="37">
        <v>0</v>
      </c>
      <c r="O172" s="37">
        <v>0</v>
      </c>
      <c r="P172" s="37"/>
      <c r="Q172" s="37"/>
      <c r="R172" s="37"/>
      <c r="S172" s="37"/>
      <c r="T172" s="37"/>
      <c r="U172" s="37">
        <v>0</v>
      </c>
      <c r="V172" s="37">
        <f t="shared" si="30"/>
        <v>6250</v>
      </c>
      <c r="W172" s="37"/>
      <c r="X172" s="37">
        <v>6250</v>
      </c>
      <c r="Y172" s="37"/>
      <c r="Z172" s="37"/>
      <c r="AA172" s="37">
        <f t="shared" si="31"/>
        <v>6250</v>
      </c>
      <c r="AB172" s="33"/>
      <c r="AC172" s="33"/>
      <c r="AD172" s="33"/>
      <c r="AE172" s="33"/>
    </row>
    <row r="173" spans="1:31" x14ac:dyDescent="0.25">
      <c r="A173" s="33"/>
      <c r="B173" s="33"/>
      <c r="C173" s="3"/>
      <c r="D173" s="3"/>
      <c r="E173" s="3">
        <v>15</v>
      </c>
      <c r="F173" s="36" t="s">
        <v>510</v>
      </c>
      <c r="G173" s="37">
        <v>6250</v>
      </c>
      <c r="H173" s="37">
        <v>0</v>
      </c>
      <c r="I173" s="37">
        <v>0</v>
      </c>
      <c r="J173" s="37">
        <v>0</v>
      </c>
      <c r="K173" s="37">
        <v>0</v>
      </c>
      <c r="L173" s="37"/>
      <c r="M173" s="37"/>
      <c r="N173" s="37">
        <v>0</v>
      </c>
      <c r="O173" s="37">
        <v>0</v>
      </c>
      <c r="P173" s="37"/>
      <c r="Q173" s="37"/>
      <c r="R173" s="37"/>
      <c r="S173" s="37"/>
      <c r="T173" s="37"/>
      <c r="U173" s="37">
        <v>0</v>
      </c>
      <c r="V173" s="37">
        <f t="shared" si="30"/>
        <v>6250</v>
      </c>
      <c r="W173" s="37"/>
      <c r="X173" s="37">
        <v>6250</v>
      </c>
      <c r="Y173" s="37"/>
      <c r="Z173" s="37"/>
      <c r="AA173" s="37">
        <f t="shared" si="31"/>
        <v>6250</v>
      </c>
      <c r="AB173" s="33"/>
      <c r="AC173" s="33"/>
      <c r="AD173" s="33"/>
      <c r="AE173" s="33"/>
    </row>
    <row r="174" spans="1:31" x14ac:dyDescent="0.25">
      <c r="A174" s="33"/>
      <c r="B174" s="33"/>
      <c r="C174" s="3"/>
      <c r="D174" s="3"/>
      <c r="E174" s="3">
        <v>16</v>
      </c>
      <c r="F174" s="36" t="s">
        <v>510</v>
      </c>
      <c r="G174" s="37">
        <v>6250</v>
      </c>
      <c r="H174" s="37">
        <v>0</v>
      </c>
      <c r="I174" s="37">
        <v>0</v>
      </c>
      <c r="J174" s="37">
        <v>0</v>
      </c>
      <c r="K174" s="37">
        <v>0</v>
      </c>
      <c r="L174" s="37"/>
      <c r="M174" s="37"/>
      <c r="N174" s="37">
        <v>0</v>
      </c>
      <c r="O174" s="37">
        <v>0</v>
      </c>
      <c r="P174" s="37"/>
      <c r="Q174" s="37"/>
      <c r="R174" s="37"/>
      <c r="S174" s="37"/>
      <c r="T174" s="37"/>
      <c r="U174" s="37">
        <v>0</v>
      </c>
      <c r="V174" s="37">
        <f t="shared" si="30"/>
        <v>6250</v>
      </c>
      <c r="W174" s="37"/>
      <c r="X174" s="37">
        <v>6250</v>
      </c>
      <c r="Y174" s="37"/>
      <c r="Z174" s="37"/>
      <c r="AA174" s="37">
        <f t="shared" si="31"/>
        <v>6250</v>
      </c>
      <c r="AB174" s="33"/>
      <c r="AC174" s="33"/>
      <c r="AD174" s="33"/>
      <c r="AE174" s="33"/>
    </row>
    <row r="175" spans="1:31" x14ac:dyDescent="0.25">
      <c r="A175" s="33"/>
      <c r="B175" s="33"/>
      <c r="C175" s="3"/>
      <c r="D175" s="3"/>
      <c r="E175" s="3">
        <v>17</v>
      </c>
      <c r="F175" s="36" t="s">
        <v>511</v>
      </c>
      <c r="G175" s="37">
        <v>7650</v>
      </c>
      <c r="H175" s="37">
        <v>0</v>
      </c>
      <c r="I175" s="37">
        <v>0</v>
      </c>
      <c r="J175" s="37">
        <v>0</v>
      </c>
      <c r="K175" s="37">
        <v>0</v>
      </c>
      <c r="L175" s="37"/>
      <c r="M175" s="37"/>
      <c r="N175" s="37">
        <v>0</v>
      </c>
      <c r="O175" s="37">
        <v>0</v>
      </c>
      <c r="P175" s="37"/>
      <c r="Q175" s="37"/>
      <c r="R175" s="37"/>
      <c r="S175" s="37"/>
      <c r="T175" s="37"/>
      <c r="U175" s="37">
        <v>0</v>
      </c>
      <c r="V175" s="37">
        <f t="shared" si="30"/>
        <v>7650</v>
      </c>
      <c r="W175" s="37"/>
      <c r="X175" s="37">
        <v>7650</v>
      </c>
      <c r="Y175" s="37"/>
      <c r="Z175" s="37"/>
      <c r="AA175" s="37">
        <f t="shared" si="31"/>
        <v>7650</v>
      </c>
      <c r="AB175" s="33"/>
      <c r="AC175" s="33"/>
      <c r="AD175" s="33"/>
      <c r="AE175" s="33"/>
    </row>
    <row r="176" spans="1:31" x14ac:dyDescent="0.25">
      <c r="A176" s="33"/>
      <c r="B176" s="33"/>
      <c r="C176" s="3"/>
      <c r="D176" s="3"/>
      <c r="E176" s="3">
        <v>18</v>
      </c>
      <c r="F176" s="36" t="s">
        <v>512</v>
      </c>
      <c r="G176" s="37">
        <v>2204</v>
      </c>
      <c r="H176" s="37">
        <v>0</v>
      </c>
      <c r="I176" s="37">
        <v>0</v>
      </c>
      <c r="J176" s="37">
        <v>0</v>
      </c>
      <c r="K176" s="37">
        <v>0</v>
      </c>
      <c r="L176" s="37"/>
      <c r="M176" s="37"/>
      <c r="N176" s="37">
        <v>0</v>
      </c>
      <c r="O176" s="37">
        <v>0</v>
      </c>
      <c r="P176" s="37"/>
      <c r="Q176" s="37"/>
      <c r="R176" s="37"/>
      <c r="S176" s="37"/>
      <c r="T176" s="37"/>
      <c r="U176" s="37">
        <v>0</v>
      </c>
      <c r="V176" s="37">
        <f t="shared" si="30"/>
        <v>2204</v>
      </c>
      <c r="W176" s="37"/>
      <c r="X176" s="37">
        <v>2204</v>
      </c>
      <c r="Y176" s="37"/>
      <c r="Z176" s="37"/>
      <c r="AA176" s="37">
        <f t="shared" si="31"/>
        <v>2204</v>
      </c>
      <c r="AB176" s="33"/>
      <c r="AC176" s="33"/>
      <c r="AD176" s="33"/>
      <c r="AE176" s="33"/>
    </row>
    <row r="177" spans="1:31" x14ac:dyDescent="0.25">
      <c r="A177" s="33"/>
      <c r="B177" s="33"/>
      <c r="C177" s="3"/>
      <c r="D177" s="3"/>
      <c r="E177" s="3">
        <v>19</v>
      </c>
      <c r="F177" s="36" t="s">
        <v>551</v>
      </c>
      <c r="G177" s="37">
        <v>10546.25</v>
      </c>
      <c r="H177" s="37">
        <v>0</v>
      </c>
      <c r="I177" s="37">
        <v>0</v>
      </c>
      <c r="J177" s="37">
        <v>0</v>
      </c>
      <c r="K177" s="37">
        <v>0</v>
      </c>
      <c r="L177" s="37"/>
      <c r="M177" s="37"/>
      <c r="N177" s="37">
        <v>0</v>
      </c>
      <c r="O177" s="37">
        <v>9832</v>
      </c>
      <c r="P177" s="37"/>
      <c r="Q177" s="37"/>
      <c r="R177" s="37"/>
      <c r="S177" s="37"/>
      <c r="T177" s="37"/>
      <c r="U177" s="37">
        <v>9832</v>
      </c>
      <c r="V177" s="37">
        <f t="shared" si="30"/>
        <v>714.25</v>
      </c>
      <c r="W177" s="37"/>
      <c r="X177" s="37">
        <v>10546.25</v>
      </c>
      <c r="Y177" s="37"/>
      <c r="Z177" s="37"/>
      <c r="AA177" s="37">
        <f t="shared" si="31"/>
        <v>10546.25</v>
      </c>
      <c r="AB177" s="33"/>
      <c r="AC177" s="33"/>
      <c r="AD177" s="33"/>
      <c r="AE177" s="33"/>
    </row>
    <row r="178" spans="1:31" x14ac:dyDescent="0.25">
      <c r="A178" s="33"/>
      <c r="B178" s="33"/>
      <c r="C178" s="3"/>
      <c r="D178" s="3"/>
      <c r="E178" s="3">
        <v>20</v>
      </c>
      <c r="F178" s="36" t="s">
        <v>552</v>
      </c>
      <c r="G178" s="37">
        <v>8538.75</v>
      </c>
      <c r="H178" s="37">
        <v>0</v>
      </c>
      <c r="I178" s="37">
        <v>0</v>
      </c>
      <c r="J178" s="37">
        <v>0</v>
      </c>
      <c r="K178" s="37">
        <v>0</v>
      </c>
      <c r="L178" s="37"/>
      <c r="M178" s="37"/>
      <c r="N178" s="37">
        <v>0</v>
      </c>
      <c r="O178" s="37">
        <v>8539</v>
      </c>
      <c r="P178" s="37"/>
      <c r="Q178" s="37"/>
      <c r="R178" s="37"/>
      <c r="S178" s="37"/>
      <c r="T178" s="37"/>
      <c r="U178" s="37">
        <v>8539</v>
      </c>
      <c r="V178" s="37">
        <f t="shared" si="30"/>
        <v>-0.25</v>
      </c>
      <c r="W178" s="37"/>
      <c r="X178" s="37">
        <v>8538.75</v>
      </c>
      <c r="Y178" s="37"/>
      <c r="Z178" s="37"/>
      <c r="AA178" s="37">
        <f t="shared" si="31"/>
        <v>8538.75</v>
      </c>
      <c r="AB178" s="33"/>
      <c r="AC178" s="33"/>
      <c r="AD178" s="33"/>
      <c r="AE178" s="33"/>
    </row>
    <row r="179" spans="1:31" x14ac:dyDescent="0.25">
      <c r="A179" s="33"/>
      <c r="B179" s="33"/>
      <c r="C179" s="3"/>
      <c r="D179" s="3"/>
      <c r="E179" s="3">
        <v>21</v>
      </c>
      <c r="F179" s="36" t="s">
        <v>553</v>
      </c>
      <c r="G179" s="37">
        <v>9999</v>
      </c>
      <c r="H179" s="37">
        <v>0</v>
      </c>
      <c r="I179" s="37">
        <v>0</v>
      </c>
      <c r="J179" s="37">
        <v>0</v>
      </c>
      <c r="K179" s="37">
        <v>0</v>
      </c>
      <c r="L179" s="37"/>
      <c r="M179" s="37"/>
      <c r="N179" s="37">
        <v>0</v>
      </c>
      <c r="O179" s="37">
        <v>0</v>
      </c>
      <c r="P179" s="37"/>
      <c r="Q179" s="37"/>
      <c r="R179" s="37"/>
      <c r="S179" s="37"/>
      <c r="T179" s="37"/>
      <c r="U179" s="37">
        <v>0</v>
      </c>
      <c r="V179" s="37">
        <f t="shared" si="30"/>
        <v>9999</v>
      </c>
      <c r="W179" s="37"/>
      <c r="X179" s="37">
        <v>9999</v>
      </c>
      <c r="Y179" s="37"/>
      <c r="Z179" s="37"/>
      <c r="AA179" s="37">
        <f t="shared" si="31"/>
        <v>9999</v>
      </c>
      <c r="AB179" s="33"/>
      <c r="AC179" s="33"/>
      <c r="AD179" s="33"/>
      <c r="AE179" s="33"/>
    </row>
    <row r="180" spans="1:31" x14ac:dyDescent="0.25">
      <c r="A180" s="33"/>
      <c r="B180" s="33"/>
      <c r="C180" s="3"/>
      <c r="D180" s="3"/>
      <c r="E180" s="3">
        <v>22</v>
      </c>
      <c r="F180" s="36" t="s">
        <v>554</v>
      </c>
      <c r="G180" s="37">
        <v>9980.64</v>
      </c>
      <c r="H180" s="37">
        <v>0</v>
      </c>
      <c r="I180" s="37">
        <v>0</v>
      </c>
      <c r="J180" s="37">
        <v>0</v>
      </c>
      <c r="K180" s="37">
        <v>0</v>
      </c>
      <c r="L180" s="37"/>
      <c r="M180" s="37"/>
      <c r="N180" s="37">
        <v>0</v>
      </c>
      <c r="O180" s="37">
        <v>0</v>
      </c>
      <c r="P180" s="37"/>
      <c r="Q180" s="37"/>
      <c r="R180" s="37"/>
      <c r="S180" s="37"/>
      <c r="T180" s="37"/>
      <c r="U180" s="37">
        <v>0</v>
      </c>
      <c r="V180" s="37">
        <f t="shared" si="30"/>
        <v>9980.64</v>
      </c>
      <c r="W180" s="37"/>
      <c r="X180" s="37">
        <v>9980.64</v>
      </c>
      <c r="Y180" s="37"/>
      <c r="Z180" s="37"/>
      <c r="AA180" s="37">
        <f t="shared" si="31"/>
        <v>9980.64</v>
      </c>
      <c r="AB180" s="33"/>
      <c r="AC180" s="33"/>
      <c r="AD180" s="33"/>
      <c r="AE180" s="33"/>
    </row>
    <row r="181" spans="1:31" x14ac:dyDescent="0.25">
      <c r="A181" s="33"/>
      <c r="B181" s="33"/>
      <c r="C181" s="3"/>
      <c r="D181" s="3"/>
      <c r="E181" s="3">
        <v>23</v>
      </c>
      <c r="F181" s="36" t="s">
        <v>555</v>
      </c>
      <c r="G181" s="37">
        <v>10500</v>
      </c>
      <c r="H181" s="37">
        <v>0</v>
      </c>
      <c r="I181" s="37">
        <v>0</v>
      </c>
      <c r="J181" s="37">
        <v>0</v>
      </c>
      <c r="K181" s="37">
        <v>0</v>
      </c>
      <c r="L181" s="37"/>
      <c r="M181" s="37"/>
      <c r="N181" s="37">
        <v>0</v>
      </c>
      <c r="O181" s="37">
        <v>0</v>
      </c>
      <c r="P181" s="37"/>
      <c r="Q181" s="37"/>
      <c r="R181" s="37"/>
      <c r="S181" s="37"/>
      <c r="T181" s="37"/>
      <c r="U181" s="37">
        <v>0</v>
      </c>
      <c r="V181" s="37">
        <f t="shared" si="30"/>
        <v>10500</v>
      </c>
      <c r="W181" s="37"/>
      <c r="X181" s="37">
        <v>10500</v>
      </c>
      <c r="Y181" s="37"/>
      <c r="Z181" s="37"/>
      <c r="AA181" s="37">
        <f t="shared" si="31"/>
        <v>10500</v>
      </c>
      <c r="AB181" s="38">
        <f>SUM(AA159:AA181)</f>
        <v>402112.49</v>
      </c>
      <c r="AC181" s="33"/>
      <c r="AD181" s="33"/>
      <c r="AE181" s="33"/>
    </row>
    <row r="182" spans="1:31" x14ac:dyDescent="0.25">
      <c r="A182" s="33"/>
      <c r="B182" s="33"/>
      <c r="C182" s="3"/>
      <c r="D182" s="3"/>
      <c r="E182" s="3">
        <v>1</v>
      </c>
      <c r="F182" s="36" t="s">
        <v>513</v>
      </c>
      <c r="G182" s="37">
        <v>6920</v>
      </c>
      <c r="H182" s="37">
        <v>0</v>
      </c>
      <c r="I182" s="37">
        <v>0</v>
      </c>
      <c r="J182" s="37">
        <v>0</v>
      </c>
      <c r="K182" s="37">
        <v>0</v>
      </c>
      <c r="L182" s="37"/>
      <c r="M182" s="37"/>
      <c r="N182" s="37">
        <v>0</v>
      </c>
      <c r="O182" s="37">
        <v>0</v>
      </c>
      <c r="P182" s="37"/>
      <c r="Q182" s="37"/>
      <c r="R182" s="37"/>
      <c r="S182" s="37"/>
      <c r="T182" s="37"/>
      <c r="U182" s="37">
        <v>0</v>
      </c>
      <c r="V182" s="37">
        <f t="shared" si="30"/>
        <v>6920</v>
      </c>
      <c r="W182" s="37"/>
      <c r="X182" s="37">
        <v>6920</v>
      </c>
      <c r="Y182" s="37"/>
      <c r="Z182" s="37"/>
      <c r="AA182" s="37">
        <f t="shared" si="31"/>
        <v>6920</v>
      </c>
      <c r="AB182" s="33"/>
      <c r="AC182" s="33"/>
      <c r="AD182" s="33"/>
      <c r="AE182" s="33"/>
    </row>
    <row r="183" spans="1:31" x14ac:dyDescent="0.25">
      <c r="A183" s="33"/>
      <c r="B183" s="33"/>
      <c r="C183" s="3"/>
      <c r="D183" s="3"/>
      <c r="E183" s="3">
        <v>2</v>
      </c>
      <c r="F183" s="36" t="s">
        <v>514</v>
      </c>
      <c r="G183" s="37">
        <v>4111.25</v>
      </c>
      <c r="H183" s="37">
        <v>0</v>
      </c>
      <c r="I183" s="37">
        <v>0</v>
      </c>
      <c r="J183" s="37">
        <v>0</v>
      </c>
      <c r="K183" s="37">
        <v>0</v>
      </c>
      <c r="L183" s="37"/>
      <c r="M183" s="37"/>
      <c r="N183" s="37">
        <v>0</v>
      </c>
      <c r="O183" s="37">
        <v>0</v>
      </c>
      <c r="P183" s="37"/>
      <c r="Q183" s="37"/>
      <c r="R183" s="37"/>
      <c r="S183" s="37"/>
      <c r="T183" s="37"/>
      <c r="U183" s="37">
        <v>0</v>
      </c>
      <c r="V183" s="37">
        <f t="shared" si="30"/>
        <v>4111.25</v>
      </c>
      <c r="W183" s="37"/>
      <c r="X183" s="37">
        <v>4111.25</v>
      </c>
      <c r="Y183" s="37"/>
      <c r="Z183" s="37"/>
      <c r="AA183" s="37">
        <f t="shared" si="31"/>
        <v>4111.25</v>
      </c>
      <c r="AB183" s="33"/>
      <c r="AC183" s="33"/>
      <c r="AD183" s="33"/>
      <c r="AE183" s="33"/>
    </row>
    <row r="184" spans="1:31" x14ac:dyDescent="0.25">
      <c r="A184" s="33"/>
      <c r="B184" s="33"/>
      <c r="C184" s="3"/>
      <c r="D184" s="3"/>
      <c r="E184" s="3">
        <v>3</v>
      </c>
      <c r="F184" s="36" t="s">
        <v>515</v>
      </c>
      <c r="G184" s="37">
        <v>795</v>
      </c>
      <c r="H184" s="37">
        <v>0</v>
      </c>
      <c r="I184" s="37">
        <v>0</v>
      </c>
      <c r="J184" s="37">
        <v>0</v>
      </c>
      <c r="K184" s="37">
        <v>0</v>
      </c>
      <c r="L184" s="37"/>
      <c r="M184" s="37"/>
      <c r="N184" s="37">
        <v>0</v>
      </c>
      <c r="O184" s="37">
        <v>795</v>
      </c>
      <c r="P184" s="37"/>
      <c r="Q184" s="37"/>
      <c r="R184" s="37"/>
      <c r="S184" s="37"/>
      <c r="T184" s="37"/>
      <c r="U184" s="37">
        <v>795</v>
      </c>
      <c r="V184" s="37">
        <f t="shared" si="30"/>
        <v>0</v>
      </c>
      <c r="W184" s="37"/>
      <c r="X184" s="37">
        <v>795</v>
      </c>
      <c r="Y184" s="37"/>
      <c r="Z184" s="37"/>
      <c r="AA184" s="37">
        <f t="shared" si="31"/>
        <v>795</v>
      </c>
      <c r="AB184" s="33"/>
      <c r="AC184" s="33"/>
      <c r="AD184" s="33"/>
      <c r="AE184" s="33"/>
    </row>
    <row r="185" spans="1:31" x14ac:dyDescent="0.25">
      <c r="A185" s="33"/>
      <c r="B185" s="33"/>
      <c r="C185" s="3"/>
      <c r="D185" s="3"/>
      <c r="E185" s="3">
        <v>4</v>
      </c>
      <c r="F185" s="36" t="s">
        <v>516</v>
      </c>
      <c r="G185" s="37">
        <v>73560.63</v>
      </c>
      <c r="H185" s="37">
        <v>0</v>
      </c>
      <c r="I185" s="37">
        <v>0</v>
      </c>
      <c r="J185" s="37">
        <v>0</v>
      </c>
      <c r="K185" s="37">
        <v>0</v>
      </c>
      <c r="L185" s="37"/>
      <c r="M185" s="37"/>
      <c r="N185" s="37">
        <v>0</v>
      </c>
      <c r="O185" s="37">
        <v>38119</v>
      </c>
      <c r="P185" s="37"/>
      <c r="Q185" s="37"/>
      <c r="R185" s="37"/>
      <c r="S185" s="37"/>
      <c r="T185" s="37"/>
      <c r="U185" s="37">
        <v>38119</v>
      </c>
      <c r="V185" s="37">
        <f t="shared" si="30"/>
        <v>35441.630000000005</v>
      </c>
      <c r="W185" s="37"/>
      <c r="X185" s="37">
        <v>73560.63</v>
      </c>
      <c r="Y185" s="37"/>
      <c r="Z185" s="37"/>
      <c r="AA185" s="37">
        <f t="shared" si="31"/>
        <v>73560.63</v>
      </c>
      <c r="AB185" s="33"/>
      <c r="AC185" s="33"/>
      <c r="AD185" s="33"/>
      <c r="AE185" s="33"/>
    </row>
    <row r="186" spans="1:31" x14ac:dyDescent="0.25">
      <c r="A186" s="33"/>
      <c r="B186" s="33"/>
      <c r="C186" s="3"/>
      <c r="D186" s="3"/>
      <c r="E186" s="3">
        <v>5</v>
      </c>
      <c r="F186" s="36" t="s">
        <v>517</v>
      </c>
      <c r="G186" s="37">
        <v>14998.99</v>
      </c>
      <c r="H186" s="37">
        <v>0</v>
      </c>
      <c r="I186" s="37">
        <v>0</v>
      </c>
      <c r="J186" s="37">
        <v>0</v>
      </c>
      <c r="K186" s="37">
        <v>0</v>
      </c>
      <c r="L186" s="37"/>
      <c r="M186" s="37"/>
      <c r="N186" s="37">
        <v>0</v>
      </c>
      <c r="O186" s="37">
        <v>0</v>
      </c>
      <c r="P186" s="37"/>
      <c r="Q186" s="37"/>
      <c r="R186" s="37"/>
      <c r="S186" s="37"/>
      <c r="T186" s="37"/>
      <c r="U186" s="37">
        <v>0</v>
      </c>
      <c r="V186" s="37">
        <f t="shared" si="30"/>
        <v>14998.99</v>
      </c>
      <c r="W186" s="37"/>
      <c r="X186" s="37">
        <v>14998.99</v>
      </c>
      <c r="Y186" s="37"/>
      <c r="Z186" s="37"/>
      <c r="AA186" s="37">
        <f t="shared" si="31"/>
        <v>14998.99</v>
      </c>
      <c r="AB186" s="33"/>
      <c r="AC186" s="33"/>
      <c r="AD186" s="33"/>
      <c r="AE186" s="33"/>
    </row>
    <row r="187" spans="1:31" x14ac:dyDescent="0.25">
      <c r="A187" s="33"/>
      <c r="B187" s="33"/>
      <c r="C187" s="3"/>
      <c r="D187" s="3"/>
      <c r="E187" s="3">
        <v>6</v>
      </c>
      <c r="F187" s="36" t="s">
        <v>518</v>
      </c>
      <c r="G187" s="37">
        <v>4610</v>
      </c>
      <c r="H187" s="37">
        <v>0</v>
      </c>
      <c r="I187" s="37">
        <v>0</v>
      </c>
      <c r="J187" s="37">
        <v>0</v>
      </c>
      <c r="K187" s="37">
        <v>0</v>
      </c>
      <c r="L187" s="37"/>
      <c r="M187" s="37"/>
      <c r="N187" s="37">
        <v>0</v>
      </c>
      <c r="O187" s="37">
        <v>0</v>
      </c>
      <c r="P187" s="37"/>
      <c r="Q187" s="37"/>
      <c r="R187" s="37"/>
      <c r="S187" s="37"/>
      <c r="T187" s="37"/>
      <c r="U187" s="37">
        <v>0</v>
      </c>
      <c r="V187" s="37">
        <f t="shared" si="30"/>
        <v>4610</v>
      </c>
      <c r="W187" s="37"/>
      <c r="X187" s="37">
        <v>4610</v>
      </c>
      <c r="Y187" s="37"/>
      <c r="Z187" s="37"/>
      <c r="AA187" s="37">
        <f t="shared" si="31"/>
        <v>4610</v>
      </c>
      <c r="AB187" s="33"/>
      <c r="AC187" s="33"/>
      <c r="AD187" s="33"/>
      <c r="AE187" s="33"/>
    </row>
    <row r="188" spans="1:31" x14ac:dyDescent="0.25">
      <c r="A188" s="33"/>
      <c r="B188" s="33"/>
      <c r="C188" s="3"/>
      <c r="D188" s="3"/>
      <c r="E188" s="3">
        <v>7</v>
      </c>
      <c r="F188" s="36" t="s">
        <v>519</v>
      </c>
      <c r="G188" s="37">
        <v>13500</v>
      </c>
      <c r="H188" s="37">
        <v>0</v>
      </c>
      <c r="I188" s="37">
        <v>0</v>
      </c>
      <c r="J188" s="37">
        <v>0</v>
      </c>
      <c r="K188" s="37">
        <v>0</v>
      </c>
      <c r="L188" s="37"/>
      <c r="M188" s="37"/>
      <c r="N188" s="37">
        <v>0</v>
      </c>
      <c r="O188" s="37">
        <v>0</v>
      </c>
      <c r="P188" s="37">
        <v>0</v>
      </c>
      <c r="Q188" s="37">
        <v>0</v>
      </c>
      <c r="R188" s="37">
        <v>0</v>
      </c>
      <c r="S188" s="37"/>
      <c r="T188" s="37"/>
      <c r="U188" s="37">
        <v>0</v>
      </c>
      <c r="V188" s="37">
        <f t="shared" si="30"/>
        <v>13500</v>
      </c>
      <c r="W188" s="37"/>
      <c r="X188" s="37">
        <v>13500</v>
      </c>
      <c r="Y188" s="37"/>
      <c r="Z188" s="37"/>
      <c r="AA188" s="37">
        <f t="shared" si="31"/>
        <v>13500</v>
      </c>
      <c r="AB188" s="33"/>
      <c r="AC188" s="33"/>
      <c r="AD188" s="33"/>
      <c r="AE188" s="33"/>
    </row>
    <row r="189" spans="1:31" x14ac:dyDescent="0.25">
      <c r="A189" s="33"/>
      <c r="B189" s="33"/>
      <c r="C189" s="3"/>
      <c r="D189" s="3"/>
      <c r="E189" s="3">
        <v>8</v>
      </c>
      <c r="F189" s="36" t="s">
        <v>556</v>
      </c>
      <c r="G189" s="37">
        <v>27880.6</v>
      </c>
      <c r="H189" s="37">
        <v>0</v>
      </c>
      <c r="I189" s="37">
        <v>0</v>
      </c>
      <c r="J189" s="37">
        <v>0</v>
      </c>
      <c r="K189" s="37">
        <v>0</v>
      </c>
      <c r="L189" s="37"/>
      <c r="M189" s="37"/>
      <c r="N189" s="37">
        <v>0</v>
      </c>
      <c r="O189" s="37">
        <v>0</v>
      </c>
      <c r="P189" s="37">
        <v>0</v>
      </c>
      <c r="Q189" s="37">
        <v>0</v>
      </c>
      <c r="R189" s="37">
        <v>0</v>
      </c>
      <c r="S189" s="37"/>
      <c r="T189" s="37"/>
      <c r="U189" s="37">
        <v>0</v>
      </c>
      <c r="V189" s="37">
        <f t="shared" si="30"/>
        <v>27880.6</v>
      </c>
      <c r="W189" s="37"/>
      <c r="X189" s="37">
        <v>27880.6</v>
      </c>
      <c r="Y189" s="37"/>
      <c r="Z189" s="37"/>
      <c r="AA189" s="37">
        <f t="shared" si="31"/>
        <v>27880.6</v>
      </c>
      <c r="AB189" s="33"/>
      <c r="AC189" s="33"/>
      <c r="AD189" s="33"/>
      <c r="AE189" s="33"/>
    </row>
    <row r="190" spans="1:31" x14ac:dyDescent="0.25">
      <c r="A190" s="33"/>
      <c r="B190" s="33"/>
      <c r="C190" s="3"/>
      <c r="D190" s="3"/>
      <c r="E190" s="3">
        <v>9</v>
      </c>
      <c r="F190" s="36" t="s">
        <v>557</v>
      </c>
      <c r="G190" s="37">
        <v>29550</v>
      </c>
      <c r="H190" s="37">
        <v>0</v>
      </c>
      <c r="I190" s="37">
        <v>0</v>
      </c>
      <c r="J190" s="37">
        <v>0</v>
      </c>
      <c r="K190" s="37">
        <v>0</v>
      </c>
      <c r="L190" s="37"/>
      <c r="M190" s="37"/>
      <c r="N190" s="37">
        <v>0</v>
      </c>
      <c r="O190" s="37">
        <v>0</v>
      </c>
      <c r="P190" s="37">
        <v>0</v>
      </c>
      <c r="Q190" s="37">
        <v>0</v>
      </c>
      <c r="R190" s="37">
        <v>0</v>
      </c>
      <c r="S190" s="37"/>
      <c r="T190" s="37"/>
      <c r="U190" s="37">
        <v>0</v>
      </c>
      <c r="V190" s="37">
        <f t="shared" si="30"/>
        <v>29550</v>
      </c>
      <c r="W190" s="37"/>
      <c r="X190" s="37">
        <v>29550</v>
      </c>
      <c r="Y190" s="37"/>
      <c r="Z190" s="37"/>
      <c r="AA190" s="37">
        <f t="shared" si="31"/>
        <v>29550</v>
      </c>
      <c r="AB190" s="33"/>
      <c r="AC190" s="33"/>
      <c r="AD190" s="33"/>
      <c r="AE190" s="33"/>
    </row>
    <row r="191" spans="1:31" x14ac:dyDescent="0.25">
      <c r="A191" s="33"/>
      <c r="B191" s="33"/>
      <c r="C191" s="3"/>
      <c r="D191" s="3"/>
      <c r="E191" s="3">
        <v>10</v>
      </c>
      <c r="F191" s="36" t="s">
        <v>558</v>
      </c>
      <c r="G191" s="37">
        <v>4950</v>
      </c>
      <c r="H191" s="37">
        <v>0</v>
      </c>
      <c r="I191" s="37">
        <v>0</v>
      </c>
      <c r="J191" s="37">
        <v>0</v>
      </c>
      <c r="K191" s="37">
        <v>0</v>
      </c>
      <c r="L191" s="37"/>
      <c r="M191" s="37"/>
      <c r="N191" s="37">
        <v>0</v>
      </c>
      <c r="O191" s="37">
        <v>4950</v>
      </c>
      <c r="P191" s="37"/>
      <c r="Q191" s="37"/>
      <c r="R191" s="37"/>
      <c r="S191" s="37"/>
      <c r="T191" s="37"/>
      <c r="U191" s="37">
        <v>4950</v>
      </c>
      <c r="V191" s="37">
        <f t="shared" si="30"/>
        <v>0</v>
      </c>
      <c r="W191" s="37">
        <f>SUM(V182:V191)</f>
        <v>137012.47</v>
      </c>
      <c r="X191" s="37">
        <v>4950</v>
      </c>
      <c r="Y191" s="37"/>
      <c r="Z191" s="37"/>
      <c r="AA191" s="37">
        <f t="shared" si="31"/>
        <v>4950</v>
      </c>
      <c r="AB191" s="38">
        <f>SUM(AA182:AA191)</f>
        <v>180876.47</v>
      </c>
      <c r="AC191" s="33"/>
      <c r="AD191" s="33"/>
      <c r="AE191" s="33"/>
    </row>
    <row r="192" spans="1:31" x14ac:dyDescent="0.25">
      <c r="A192" s="33"/>
      <c r="B192" s="33"/>
      <c r="C192" s="3"/>
      <c r="D192" s="3"/>
      <c r="E192" s="3">
        <v>1</v>
      </c>
      <c r="F192" s="36" t="s">
        <v>520</v>
      </c>
      <c r="G192" s="37">
        <v>17049.39</v>
      </c>
      <c r="H192" s="37">
        <v>0</v>
      </c>
      <c r="I192" s="37">
        <v>0</v>
      </c>
      <c r="J192" s="37">
        <v>0</v>
      </c>
      <c r="K192" s="37">
        <v>0</v>
      </c>
      <c r="L192" s="37"/>
      <c r="M192" s="37"/>
      <c r="N192" s="37">
        <v>0</v>
      </c>
      <c r="O192" s="37">
        <v>4436</v>
      </c>
      <c r="P192" s="37"/>
      <c r="Q192" s="37"/>
      <c r="R192" s="37"/>
      <c r="S192" s="37"/>
      <c r="T192" s="37"/>
      <c r="U192" s="37">
        <v>4436</v>
      </c>
      <c r="V192" s="37">
        <f t="shared" si="30"/>
        <v>12613.39</v>
      </c>
      <c r="W192" s="37"/>
      <c r="X192" s="37">
        <v>17049.39</v>
      </c>
      <c r="Y192" s="37"/>
      <c r="Z192" s="37"/>
      <c r="AA192" s="37">
        <f t="shared" si="31"/>
        <v>17049.39</v>
      </c>
      <c r="AB192" s="33"/>
      <c r="AC192" s="33"/>
      <c r="AD192" s="33"/>
      <c r="AE192" s="33"/>
    </row>
    <row r="193" spans="1:31" x14ac:dyDescent="0.25">
      <c r="A193" s="33"/>
      <c r="B193" s="33"/>
      <c r="C193" s="3"/>
      <c r="D193" s="3"/>
      <c r="E193" s="3">
        <v>2</v>
      </c>
      <c r="F193" s="36" t="s">
        <v>521</v>
      </c>
      <c r="G193" s="37">
        <v>37049.9</v>
      </c>
      <c r="H193" s="37">
        <v>0</v>
      </c>
      <c r="I193" s="37">
        <v>0</v>
      </c>
      <c r="J193" s="37">
        <v>0</v>
      </c>
      <c r="K193" s="37">
        <v>0</v>
      </c>
      <c r="L193" s="37"/>
      <c r="M193" s="37"/>
      <c r="N193" s="37">
        <v>0</v>
      </c>
      <c r="O193" s="37">
        <v>1859</v>
      </c>
      <c r="P193" s="37"/>
      <c r="Q193" s="37"/>
      <c r="R193" s="37"/>
      <c r="S193" s="37"/>
      <c r="T193" s="37"/>
      <c r="U193" s="37">
        <v>1859</v>
      </c>
      <c r="V193" s="37">
        <f t="shared" si="30"/>
        <v>35190.9</v>
      </c>
      <c r="W193" s="37"/>
      <c r="X193" s="37">
        <v>37049.9</v>
      </c>
      <c r="Y193" s="37"/>
      <c r="Z193" s="37"/>
      <c r="AA193" s="37">
        <f t="shared" si="31"/>
        <v>37049.9</v>
      </c>
      <c r="AB193" s="33"/>
      <c r="AC193" s="33"/>
      <c r="AD193" s="33"/>
      <c r="AE193" s="33"/>
    </row>
    <row r="194" spans="1:31" x14ac:dyDescent="0.25">
      <c r="A194" s="33"/>
      <c r="B194" s="33"/>
      <c r="C194" s="3"/>
      <c r="D194" s="3"/>
      <c r="E194" s="3">
        <v>3</v>
      </c>
      <c r="F194" s="36" t="s">
        <v>522</v>
      </c>
      <c r="G194" s="37">
        <v>24137</v>
      </c>
      <c r="H194" s="37">
        <v>0</v>
      </c>
      <c r="I194" s="37">
        <v>0</v>
      </c>
      <c r="J194" s="37">
        <v>0</v>
      </c>
      <c r="K194" s="37">
        <v>0</v>
      </c>
      <c r="L194" s="37"/>
      <c r="M194" s="37"/>
      <c r="N194" s="37">
        <v>0</v>
      </c>
      <c r="O194" s="37">
        <v>24137</v>
      </c>
      <c r="P194" s="37"/>
      <c r="Q194" s="37"/>
      <c r="R194" s="37"/>
      <c r="S194" s="37"/>
      <c r="T194" s="37"/>
      <c r="U194" s="37">
        <v>24137</v>
      </c>
      <c r="V194" s="37">
        <f t="shared" si="30"/>
        <v>0</v>
      </c>
      <c r="W194" s="37"/>
      <c r="X194" s="37">
        <v>24137</v>
      </c>
      <c r="Y194" s="37"/>
      <c r="Z194" s="37"/>
      <c r="AA194" s="37">
        <f t="shared" si="31"/>
        <v>24137</v>
      </c>
      <c r="AB194" s="33"/>
      <c r="AC194" s="33"/>
      <c r="AD194" s="33"/>
      <c r="AE194" s="33"/>
    </row>
    <row r="195" spans="1:31" x14ac:dyDescent="0.25">
      <c r="A195" s="33"/>
      <c r="B195" s="33"/>
      <c r="C195" s="3"/>
      <c r="D195" s="3"/>
      <c r="E195" s="3">
        <v>4</v>
      </c>
      <c r="F195" s="36" t="s">
        <v>523</v>
      </c>
      <c r="G195" s="37">
        <v>12548</v>
      </c>
      <c r="H195" s="37">
        <v>0</v>
      </c>
      <c r="I195" s="37">
        <v>0</v>
      </c>
      <c r="J195" s="37">
        <v>0</v>
      </c>
      <c r="K195" s="37">
        <v>0</v>
      </c>
      <c r="L195" s="37"/>
      <c r="M195" s="37"/>
      <c r="N195" s="37">
        <v>0</v>
      </c>
      <c r="O195" s="37">
        <v>0</v>
      </c>
      <c r="P195" s="37"/>
      <c r="Q195" s="37"/>
      <c r="R195" s="37"/>
      <c r="S195" s="37"/>
      <c r="T195" s="37"/>
      <c r="U195" s="37">
        <v>0</v>
      </c>
      <c r="V195" s="37">
        <f t="shared" si="30"/>
        <v>12548</v>
      </c>
      <c r="W195" s="37"/>
      <c r="X195" s="37">
        <v>12548</v>
      </c>
      <c r="Y195" s="37"/>
      <c r="Z195" s="37"/>
      <c r="AA195" s="37">
        <f t="shared" si="31"/>
        <v>12548</v>
      </c>
      <c r="AB195" s="33"/>
      <c r="AC195" s="33"/>
      <c r="AD195" s="33"/>
      <c r="AE195" s="33"/>
    </row>
    <row r="196" spans="1:31" x14ac:dyDescent="0.25">
      <c r="A196" s="33"/>
      <c r="B196" s="33"/>
      <c r="C196" s="3"/>
      <c r="D196" s="3"/>
      <c r="E196" s="3">
        <v>5</v>
      </c>
      <c r="F196" s="36" t="s">
        <v>524</v>
      </c>
      <c r="G196" s="37">
        <v>4400</v>
      </c>
      <c r="H196" s="37">
        <v>0</v>
      </c>
      <c r="I196" s="37">
        <v>0</v>
      </c>
      <c r="J196" s="37">
        <v>0</v>
      </c>
      <c r="K196" s="37">
        <v>0</v>
      </c>
      <c r="L196" s="37"/>
      <c r="M196" s="37"/>
      <c r="N196" s="37">
        <v>0</v>
      </c>
      <c r="O196" s="37">
        <v>0</v>
      </c>
      <c r="P196" s="37"/>
      <c r="Q196" s="37"/>
      <c r="R196" s="37"/>
      <c r="S196" s="37"/>
      <c r="T196" s="37"/>
      <c r="U196" s="37">
        <v>0</v>
      </c>
      <c r="V196" s="37">
        <f t="shared" si="30"/>
        <v>4400</v>
      </c>
      <c r="W196" s="37"/>
      <c r="X196" s="37">
        <v>4400</v>
      </c>
      <c r="Y196" s="37"/>
      <c r="Z196" s="37"/>
      <c r="AA196" s="37">
        <f t="shared" si="31"/>
        <v>4400</v>
      </c>
      <c r="AB196" s="33"/>
      <c r="AC196" s="33"/>
      <c r="AD196" s="33"/>
      <c r="AE196" s="33"/>
    </row>
    <row r="197" spans="1:31" x14ac:dyDescent="0.25">
      <c r="A197" s="33"/>
      <c r="B197" s="33"/>
      <c r="C197" s="3"/>
      <c r="D197" s="3"/>
      <c r="E197" s="3">
        <v>6</v>
      </c>
      <c r="F197" s="36" t="s">
        <v>525</v>
      </c>
      <c r="G197" s="37">
        <v>1836</v>
      </c>
      <c r="H197" s="37">
        <v>0</v>
      </c>
      <c r="I197" s="37">
        <v>0</v>
      </c>
      <c r="J197" s="37">
        <v>0</v>
      </c>
      <c r="K197" s="37">
        <v>0</v>
      </c>
      <c r="L197" s="37"/>
      <c r="M197" s="37"/>
      <c r="N197" s="37">
        <v>0</v>
      </c>
      <c r="O197" s="37">
        <v>0</v>
      </c>
      <c r="P197" s="37"/>
      <c r="Q197" s="37"/>
      <c r="R197" s="37"/>
      <c r="S197" s="37"/>
      <c r="T197" s="37"/>
      <c r="U197" s="37">
        <v>0</v>
      </c>
      <c r="V197" s="37">
        <f t="shared" si="30"/>
        <v>1836</v>
      </c>
      <c r="W197" s="37"/>
      <c r="X197" s="37">
        <v>1836</v>
      </c>
      <c r="Y197" s="37"/>
      <c r="Z197" s="37"/>
      <c r="AA197" s="37">
        <f t="shared" si="31"/>
        <v>1836</v>
      </c>
      <c r="AB197" s="33"/>
      <c r="AC197" s="33"/>
      <c r="AD197" s="33"/>
      <c r="AE197" s="33"/>
    </row>
    <row r="198" spans="1:31" x14ac:dyDescent="0.25">
      <c r="A198" s="33"/>
      <c r="B198" s="33"/>
      <c r="C198" s="3"/>
      <c r="D198" s="3"/>
      <c r="E198" s="3">
        <v>7</v>
      </c>
      <c r="F198" s="36" t="s">
        <v>526</v>
      </c>
      <c r="G198" s="37">
        <v>435</v>
      </c>
      <c r="H198" s="37">
        <v>0</v>
      </c>
      <c r="I198" s="37">
        <v>0</v>
      </c>
      <c r="J198" s="37">
        <v>0</v>
      </c>
      <c r="K198" s="37">
        <v>0</v>
      </c>
      <c r="L198" s="37"/>
      <c r="M198" s="37"/>
      <c r="N198" s="37">
        <v>0</v>
      </c>
      <c r="O198" s="37">
        <v>0</v>
      </c>
      <c r="P198" s="37"/>
      <c r="Q198" s="37"/>
      <c r="R198" s="37"/>
      <c r="S198" s="37"/>
      <c r="T198" s="37"/>
      <c r="U198" s="37">
        <v>0</v>
      </c>
      <c r="V198" s="37">
        <f t="shared" si="30"/>
        <v>435</v>
      </c>
      <c r="W198" s="37"/>
      <c r="X198" s="37">
        <v>435</v>
      </c>
      <c r="Y198" s="37"/>
      <c r="Z198" s="37"/>
      <c r="AA198" s="37">
        <f t="shared" si="31"/>
        <v>435</v>
      </c>
      <c r="AB198" s="33"/>
      <c r="AC198" s="33"/>
      <c r="AD198" s="33"/>
      <c r="AE198" s="33"/>
    </row>
    <row r="199" spans="1:31" x14ac:dyDescent="0.25">
      <c r="A199" s="33"/>
      <c r="B199" s="33"/>
      <c r="C199" s="3"/>
      <c r="D199" s="3"/>
      <c r="E199" s="3">
        <v>8</v>
      </c>
      <c r="F199" s="36" t="s">
        <v>527</v>
      </c>
      <c r="G199" s="37">
        <v>300</v>
      </c>
      <c r="H199" s="37">
        <v>0</v>
      </c>
      <c r="I199" s="37">
        <v>0</v>
      </c>
      <c r="J199" s="37">
        <v>0</v>
      </c>
      <c r="K199" s="37">
        <v>0</v>
      </c>
      <c r="L199" s="37"/>
      <c r="M199" s="37"/>
      <c r="N199" s="37">
        <v>0</v>
      </c>
      <c r="O199" s="37">
        <v>0</v>
      </c>
      <c r="P199" s="37"/>
      <c r="Q199" s="37"/>
      <c r="R199" s="37"/>
      <c r="S199" s="37"/>
      <c r="T199" s="37"/>
      <c r="U199" s="37">
        <v>0</v>
      </c>
      <c r="V199" s="37">
        <f t="shared" si="30"/>
        <v>300</v>
      </c>
      <c r="W199" s="37"/>
      <c r="X199" s="37">
        <v>300</v>
      </c>
      <c r="Y199" s="37"/>
      <c r="Z199" s="37"/>
      <c r="AA199" s="37">
        <f t="shared" si="31"/>
        <v>300</v>
      </c>
      <c r="AB199" s="33"/>
      <c r="AC199" s="33"/>
      <c r="AD199" s="33"/>
      <c r="AE199" s="33"/>
    </row>
    <row r="200" spans="1:31" x14ac:dyDescent="0.25">
      <c r="A200" s="33"/>
      <c r="B200" s="33"/>
      <c r="C200" s="3"/>
      <c r="D200" s="3"/>
      <c r="E200" s="3">
        <v>9</v>
      </c>
      <c r="F200" s="36" t="s">
        <v>528</v>
      </c>
      <c r="G200" s="37">
        <v>8625</v>
      </c>
      <c r="H200" s="37">
        <v>0</v>
      </c>
      <c r="I200" s="37">
        <v>0</v>
      </c>
      <c r="J200" s="37">
        <v>0</v>
      </c>
      <c r="K200" s="37">
        <v>0</v>
      </c>
      <c r="L200" s="37"/>
      <c r="M200" s="37"/>
      <c r="N200" s="37">
        <v>0</v>
      </c>
      <c r="O200" s="37">
        <v>0</v>
      </c>
      <c r="P200" s="37"/>
      <c r="Q200" s="37"/>
      <c r="R200" s="37"/>
      <c r="S200" s="37"/>
      <c r="T200" s="37"/>
      <c r="U200" s="37">
        <v>0</v>
      </c>
      <c r="V200" s="37">
        <f t="shared" si="30"/>
        <v>8625</v>
      </c>
      <c r="W200" s="37"/>
      <c r="X200" s="37">
        <v>8625</v>
      </c>
      <c r="Y200" s="37"/>
      <c r="Z200" s="37"/>
      <c r="AA200" s="37">
        <f t="shared" si="31"/>
        <v>8625</v>
      </c>
      <c r="AB200" s="33"/>
      <c r="AC200" s="33"/>
      <c r="AD200" s="33"/>
      <c r="AE200" s="33"/>
    </row>
    <row r="201" spans="1:31" x14ac:dyDescent="0.25">
      <c r="A201" s="33"/>
      <c r="B201" s="33"/>
      <c r="C201" s="3"/>
      <c r="D201" s="3"/>
      <c r="E201" s="3">
        <v>10</v>
      </c>
      <c r="F201" s="36" t="s">
        <v>529</v>
      </c>
      <c r="G201" s="37">
        <v>1198</v>
      </c>
      <c r="H201" s="37">
        <v>0</v>
      </c>
      <c r="I201" s="37">
        <v>0</v>
      </c>
      <c r="J201" s="37">
        <v>0</v>
      </c>
      <c r="K201" s="37">
        <v>0</v>
      </c>
      <c r="L201" s="37"/>
      <c r="M201" s="37"/>
      <c r="N201" s="37">
        <v>0</v>
      </c>
      <c r="O201" s="37">
        <v>0</v>
      </c>
      <c r="P201" s="37"/>
      <c r="Q201" s="37"/>
      <c r="R201" s="37"/>
      <c r="S201" s="37"/>
      <c r="T201" s="37"/>
      <c r="U201" s="37">
        <v>0</v>
      </c>
      <c r="V201" s="37">
        <f t="shared" si="30"/>
        <v>1198</v>
      </c>
      <c r="W201" s="37"/>
      <c r="X201" s="37">
        <v>1198</v>
      </c>
      <c r="Y201" s="37"/>
      <c r="Z201" s="37"/>
      <c r="AA201" s="37">
        <f t="shared" si="31"/>
        <v>1198</v>
      </c>
      <c r="AB201" s="33"/>
      <c r="AC201" s="33"/>
      <c r="AD201" s="33"/>
      <c r="AE201" s="33"/>
    </row>
    <row r="202" spans="1:31" x14ac:dyDescent="0.25">
      <c r="A202" s="33"/>
      <c r="B202" s="33"/>
      <c r="C202" s="3"/>
      <c r="D202" s="3"/>
      <c r="E202" s="3">
        <v>11</v>
      </c>
      <c r="F202" s="36" t="s">
        <v>530</v>
      </c>
      <c r="G202" s="37">
        <v>189</v>
      </c>
      <c r="H202" s="37">
        <v>0</v>
      </c>
      <c r="I202" s="37">
        <v>0</v>
      </c>
      <c r="J202" s="37">
        <v>0</v>
      </c>
      <c r="K202" s="37">
        <v>0</v>
      </c>
      <c r="L202" s="37"/>
      <c r="M202" s="37"/>
      <c r="N202" s="37">
        <v>0</v>
      </c>
      <c r="O202" s="37">
        <v>0</v>
      </c>
      <c r="P202" s="37"/>
      <c r="Q202" s="37"/>
      <c r="R202" s="37"/>
      <c r="S202" s="37"/>
      <c r="T202" s="37"/>
      <c r="U202" s="37">
        <v>0</v>
      </c>
      <c r="V202" s="37">
        <f t="shared" si="30"/>
        <v>189</v>
      </c>
      <c r="W202" s="37"/>
      <c r="X202" s="37">
        <v>189</v>
      </c>
      <c r="Y202" s="37"/>
      <c r="Z202" s="37"/>
      <c r="AA202" s="37">
        <f t="shared" si="31"/>
        <v>189</v>
      </c>
      <c r="AB202" s="33"/>
      <c r="AC202" s="33"/>
      <c r="AD202" s="33"/>
      <c r="AE202" s="33"/>
    </row>
    <row r="203" spans="1:31" x14ac:dyDescent="0.25">
      <c r="A203" s="33"/>
      <c r="B203" s="33"/>
      <c r="C203" s="3"/>
      <c r="D203" s="3"/>
      <c r="E203" s="3">
        <v>12</v>
      </c>
      <c r="F203" s="36" t="s">
        <v>531</v>
      </c>
      <c r="G203" s="37">
        <v>315</v>
      </c>
      <c r="H203" s="37">
        <v>0</v>
      </c>
      <c r="I203" s="37">
        <v>0</v>
      </c>
      <c r="J203" s="37">
        <v>0</v>
      </c>
      <c r="K203" s="37">
        <v>0</v>
      </c>
      <c r="L203" s="37"/>
      <c r="M203" s="37"/>
      <c r="N203" s="37">
        <v>0</v>
      </c>
      <c r="O203" s="37">
        <v>0</v>
      </c>
      <c r="P203" s="37"/>
      <c r="Q203" s="37"/>
      <c r="R203" s="37"/>
      <c r="S203" s="37"/>
      <c r="T203" s="37"/>
      <c r="U203" s="37">
        <v>0</v>
      </c>
      <c r="V203" s="37">
        <f t="shared" si="30"/>
        <v>315</v>
      </c>
      <c r="W203" s="37"/>
      <c r="X203" s="37">
        <v>315</v>
      </c>
      <c r="Y203" s="37"/>
      <c r="Z203" s="37"/>
      <c r="AA203" s="37">
        <f t="shared" si="31"/>
        <v>315</v>
      </c>
      <c r="AB203" s="33"/>
      <c r="AC203" s="33"/>
      <c r="AD203" s="33"/>
      <c r="AE203" s="33"/>
    </row>
    <row r="204" spans="1:31" x14ac:dyDescent="0.25">
      <c r="A204" s="33"/>
      <c r="B204" s="33"/>
      <c r="C204" s="3"/>
      <c r="D204" s="3"/>
      <c r="E204" s="3">
        <v>13</v>
      </c>
      <c r="F204" s="36" t="s">
        <v>532</v>
      </c>
      <c r="G204" s="37">
        <v>2304.06</v>
      </c>
      <c r="H204" s="37">
        <v>0</v>
      </c>
      <c r="I204" s="37">
        <v>0</v>
      </c>
      <c r="J204" s="37">
        <v>0</v>
      </c>
      <c r="K204" s="37">
        <v>0</v>
      </c>
      <c r="L204" s="37"/>
      <c r="M204" s="37"/>
      <c r="N204" s="37">
        <v>0</v>
      </c>
      <c r="O204" s="37">
        <v>699</v>
      </c>
      <c r="P204" s="37"/>
      <c r="Q204" s="37"/>
      <c r="R204" s="37"/>
      <c r="S204" s="37"/>
      <c r="T204" s="37"/>
      <c r="U204" s="37">
        <v>699</v>
      </c>
      <c r="V204" s="37">
        <f t="shared" si="30"/>
        <v>1605.06</v>
      </c>
      <c r="W204" s="37"/>
      <c r="X204" s="37">
        <v>2304.06</v>
      </c>
      <c r="Y204" s="37"/>
      <c r="Z204" s="37"/>
      <c r="AA204" s="37">
        <f t="shared" si="31"/>
        <v>2304.06</v>
      </c>
      <c r="AB204" s="33"/>
      <c r="AC204" s="33"/>
      <c r="AD204" s="33"/>
      <c r="AE204" s="33"/>
    </row>
    <row r="205" spans="1:31" x14ac:dyDescent="0.25">
      <c r="A205" s="33"/>
      <c r="B205" s="33"/>
      <c r="C205" s="3"/>
      <c r="D205" s="3"/>
      <c r="E205" s="3">
        <v>14</v>
      </c>
      <c r="F205" s="36" t="s">
        <v>533</v>
      </c>
      <c r="G205" s="37">
        <v>12382</v>
      </c>
      <c r="H205" s="37">
        <v>0</v>
      </c>
      <c r="I205" s="37">
        <v>0</v>
      </c>
      <c r="J205" s="37">
        <v>0</v>
      </c>
      <c r="K205" s="37">
        <v>0</v>
      </c>
      <c r="L205" s="37"/>
      <c r="M205" s="37"/>
      <c r="N205" s="37">
        <v>0</v>
      </c>
      <c r="O205" s="37">
        <v>0</v>
      </c>
      <c r="P205" s="37"/>
      <c r="Q205" s="37"/>
      <c r="R205" s="37"/>
      <c r="S205" s="37"/>
      <c r="T205" s="37"/>
      <c r="U205" s="37">
        <v>0</v>
      </c>
      <c r="V205" s="37">
        <f t="shared" si="30"/>
        <v>12382</v>
      </c>
      <c r="W205" s="37"/>
      <c r="X205" s="37">
        <v>12382</v>
      </c>
      <c r="Y205" s="37"/>
      <c r="Z205" s="37"/>
      <c r="AA205" s="37">
        <f t="shared" si="31"/>
        <v>12382</v>
      </c>
      <c r="AB205" s="33"/>
      <c r="AC205" s="33"/>
      <c r="AD205" s="33"/>
      <c r="AE205" s="33"/>
    </row>
    <row r="206" spans="1:31" x14ac:dyDescent="0.25">
      <c r="A206" s="33"/>
      <c r="B206" s="33"/>
      <c r="C206" s="3"/>
      <c r="D206" s="3"/>
      <c r="E206" s="3">
        <v>15</v>
      </c>
      <c r="F206" s="36" t="s">
        <v>534</v>
      </c>
      <c r="G206" s="37">
        <v>4680.01</v>
      </c>
      <c r="H206" s="37">
        <v>0</v>
      </c>
      <c r="I206" s="37">
        <v>0</v>
      </c>
      <c r="J206" s="37">
        <v>0</v>
      </c>
      <c r="K206" s="37">
        <v>0</v>
      </c>
      <c r="L206" s="37"/>
      <c r="M206" s="37"/>
      <c r="N206" s="37">
        <v>0</v>
      </c>
      <c r="O206" s="37">
        <v>0</v>
      </c>
      <c r="P206" s="37"/>
      <c r="Q206" s="37"/>
      <c r="R206" s="37"/>
      <c r="S206" s="37"/>
      <c r="T206" s="37"/>
      <c r="U206" s="37">
        <v>0</v>
      </c>
      <c r="V206" s="37">
        <f t="shared" si="30"/>
        <v>4680.01</v>
      </c>
      <c r="W206" s="37"/>
      <c r="X206" s="37">
        <v>4680.01</v>
      </c>
      <c r="Y206" s="37"/>
      <c r="Z206" s="37"/>
      <c r="AA206" s="37">
        <f t="shared" si="31"/>
        <v>4680.01</v>
      </c>
      <c r="AB206" s="33"/>
      <c r="AC206" s="33"/>
      <c r="AD206" s="33"/>
      <c r="AE206" s="33"/>
    </row>
    <row r="207" spans="1:31" x14ac:dyDescent="0.25">
      <c r="A207" s="33"/>
      <c r="B207" s="33"/>
      <c r="C207" s="3"/>
      <c r="D207" s="3"/>
      <c r="E207" s="3">
        <v>16</v>
      </c>
      <c r="F207" s="36" t="s">
        <v>535</v>
      </c>
      <c r="G207" s="37">
        <v>629</v>
      </c>
      <c r="H207" s="37">
        <v>0</v>
      </c>
      <c r="I207" s="37">
        <v>0</v>
      </c>
      <c r="J207" s="37">
        <v>0</v>
      </c>
      <c r="K207" s="37">
        <v>0</v>
      </c>
      <c r="L207" s="37"/>
      <c r="M207" s="37"/>
      <c r="N207" s="37">
        <v>0</v>
      </c>
      <c r="O207" s="37">
        <v>0</v>
      </c>
      <c r="P207" s="37"/>
      <c r="Q207" s="37"/>
      <c r="R207" s="37"/>
      <c r="S207" s="37"/>
      <c r="T207" s="37"/>
      <c r="U207" s="37">
        <v>0</v>
      </c>
      <c r="V207" s="37">
        <f t="shared" si="30"/>
        <v>629</v>
      </c>
      <c r="W207" s="37"/>
      <c r="X207" s="37">
        <v>629</v>
      </c>
      <c r="Y207" s="37"/>
      <c r="Z207" s="37"/>
      <c r="AA207" s="37">
        <f t="shared" si="31"/>
        <v>629</v>
      </c>
      <c r="AB207" s="33"/>
      <c r="AC207" s="33"/>
      <c r="AD207" s="33"/>
      <c r="AE207" s="33"/>
    </row>
    <row r="208" spans="1:31" x14ac:dyDescent="0.25">
      <c r="A208" s="33"/>
      <c r="B208" s="33"/>
      <c r="C208" s="3"/>
      <c r="D208" s="3"/>
      <c r="E208" s="3">
        <v>17</v>
      </c>
      <c r="F208" s="36" t="s">
        <v>536</v>
      </c>
      <c r="G208" s="37">
        <v>2334.4</v>
      </c>
      <c r="H208" s="37">
        <v>0</v>
      </c>
      <c r="I208" s="37">
        <v>0</v>
      </c>
      <c r="J208" s="37">
        <v>0</v>
      </c>
      <c r="K208" s="37">
        <v>0</v>
      </c>
      <c r="L208" s="37"/>
      <c r="M208" s="37"/>
      <c r="N208" s="37">
        <v>0</v>
      </c>
      <c r="O208" s="37">
        <v>0</v>
      </c>
      <c r="P208" s="37"/>
      <c r="Q208" s="37"/>
      <c r="R208" s="37"/>
      <c r="S208" s="37"/>
      <c r="T208" s="37"/>
      <c r="U208" s="37">
        <v>0</v>
      </c>
      <c r="V208" s="37">
        <f t="shared" si="30"/>
        <v>2334.4</v>
      </c>
      <c r="W208" s="37"/>
      <c r="X208" s="37">
        <v>2334.4</v>
      </c>
      <c r="Y208" s="37"/>
      <c r="Z208" s="37"/>
      <c r="AA208" s="37">
        <f t="shared" si="31"/>
        <v>2334.4</v>
      </c>
      <c r="AB208" s="33"/>
      <c r="AC208" s="33"/>
      <c r="AD208" s="33"/>
      <c r="AE208" s="33"/>
    </row>
    <row r="209" spans="1:31" x14ac:dyDescent="0.25">
      <c r="A209" s="33"/>
      <c r="B209" s="33"/>
      <c r="C209" s="3"/>
      <c r="D209" s="3"/>
      <c r="E209" s="3">
        <v>18</v>
      </c>
      <c r="F209" s="36" t="s">
        <v>537</v>
      </c>
      <c r="G209" s="37">
        <v>2900</v>
      </c>
      <c r="H209" s="37">
        <v>0</v>
      </c>
      <c r="I209" s="37">
        <v>0</v>
      </c>
      <c r="J209" s="37">
        <v>0</v>
      </c>
      <c r="K209" s="37">
        <v>0</v>
      </c>
      <c r="L209" s="37"/>
      <c r="M209" s="37"/>
      <c r="N209" s="37">
        <v>0</v>
      </c>
      <c r="O209" s="37">
        <v>0</v>
      </c>
      <c r="P209" s="37"/>
      <c r="Q209" s="37"/>
      <c r="R209" s="37"/>
      <c r="S209" s="37"/>
      <c r="T209" s="37"/>
      <c r="U209" s="37">
        <v>0</v>
      </c>
      <c r="V209" s="37">
        <f t="shared" si="30"/>
        <v>2900</v>
      </c>
      <c r="W209" s="37"/>
      <c r="X209" s="37">
        <v>2900</v>
      </c>
      <c r="Y209" s="37"/>
      <c r="Z209" s="37"/>
      <c r="AA209" s="37">
        <f t="shared" si="31"/>
        <v>2900</v>
      </c>
      <c r="AB209" s="33"/>
      <c r="AC209" s="33"/>
      <c r="AD209" s="33"/>
      <c r="AE209" s="33"/>
    </row>
    <row r="210" spans="1:31" x14ac:dyDescent="0.25">
      <c r="A210" s="33"/>
      <c r="B210" s="33"/>
      <c r="C210" s="3"/>
      <c r="D210" s="3"/>
      <c r="E210" s="3">
        <v>19</v>
      </c>
      <c r="F210" s="36" t="s">
        <v>546</v>
      </c>
      <c r="G210" s="37">
        <v>4640</v>
      </c>
      <c r="H210" s="37">
        <v>0</v>
      </c>
      <c r="I210" s="37">
        <v>0</v>
      </c>
      <c r="J210" s="37">
        <v>0</v>
      </c>
      <c r="K210" s="37">
        <v>0</v>
      </c>
      <c r="L210" s="37"/>
      <c r="M210" s="37"/>
      <c r="N210" s="37">
        <v>0</v>
      </c>
      <c r="O210" s="37">
        <v>0</v>
      </c>
      <c r="P210" s="37">
        <v>0</v>
      </c>
      <c r="Q210" s="37">
        <v>0</v>
      </c>
      <c r="R210" s="37">
        <v>0</v>
      </c>
      <c r="S210" s="37"/>
      <c r="T210" s="37"/>
      <c r="U210" s="37">
        <v>0</v>
      </c>
      <c r="V210" s="37">
        <f t="shared" si="30"/>
        <v>4640</v>
      </c>
      <c r="W210" s="37"/>
      <c r="X210" s="37">
        <v>4640</v>
      </c>
      <c r="Y210" s="37"/>
      <c r="Z210" s="37"/>
      <c r="AA210" s="37">
        <f t="shared" si="31"/>
        <v>4640</v>
      </c>
      <c r="AB210" s="33"/>
      <c r="AC210" s="33"/>
      <c r="AD210" s="33"/>
      <c r="AE210" s="33"/>
    </row>
    <row r="211" spans="1:31" x14ac:dyDescent="0.25">
      <c r="A211" s="33"/>
      <c r="B211" s="33"/>
      <c r="C211" s="3"/>
      <c r="D211" s="3"/>
      <c r="E211" s="3">
        <v>20</v>
      </c>
      <c r="F211" s="36" t="s">
        <v>547</v>
      </c>
      <c r="G211" s="37">
        <v>0</v>
      </c>
      <c r="H211" s="37">
        <v>0</v>
      </c>
      <c r="I211" s="37">
        <v>0</v>
      </c>
      <c r="J211" s="37">
        <v>0</v>
      </c>
      <c r="K211" s="37">
        <v>0</v>
      </c>
      <c r="L211" s="37"/>
      <c r="M211" s="37"/>
      <c r="N211" s="37">
        <v>0</v>
      </c>
      <c r="O211" s="37">
        <v>0</v>
      </c>
      <c r="P211" s="37">
        <v>0</v>
      </c>
      <c r="Q211" s="37">
        <v>0</v>
      </c>
      <c r="R211" s="37">
        <v>0</v>
      </c>
      <c r="S211" s="37"/>
      <c r="T211" s="37"/>
      <c r="U211" s="37">
        <v>0</v>
      </c>
      <c r="V211" s="37">
        <f t="shared" si="30"/>
        <v>0</v>
      </c>
      <c r="W211" s="37"/>
      <c r="X211" s="37">
        <v>0</v>
      </c>
      <c r="Y211" s="37"/>
      <c r="Z211" s="37"/>
      <c r="AA211" s="37">
        <f t="shared" si="31"/>
        <v>0</v>
      </c>
      <c r="AB211" s="33"/>
      <c r="AC211" s="33"/>
      <c r="AD211" s="33"/>
      <c r="AE211" s="33"/>
    </row>
    <row r="212" spans="1:31" x14ac:dyDescent="0.25">
      <c r="A212" s="33"/>
      <c r="B212" s="33"/>
      <c r="C212" s="3"/>
      <c r="D212" s="3"/>
      <c r="E212" s="3">
        <v>21</v>
      </c>
      <c r="F212" s="36" t="s">
        <v>548</v>
      </c>
      <c r="G212" s="37">
        <v>9499.99</v>
      </c>
      <c r="H212" s="37">
        <v>0</v>
      </c>
      <c r="I212" s="37">
        <v>0</v>
      </c>
      <c r="J212" s="37">
        <v>0</v>
      </c>
      <c r="K212" s="37">
        <v>0</v>
      </c>
      <c r="L212" s="37"/>
      <c r="M212" s="37"/>
      <c r="N212" s="37">
        <v>0</v>
      </c>
      <c r="O212" s="37">
        <v>0</v>
      </c>
      <c r="P212" s="37">
        <v>0</v>
      </c>
      <c r="Q212" s="37">
        <v>0</v>
      </c>
      <c r="R212" s="37">
        <v>0</v>
      </c>
      <c r="S212" s="37"/>
      <c r="T212" s="37"/>
      <c r="U212" s="37">
        <v>0</v>
      </c>
      <c r="V212" s="37">
        <f t="shared" si="30"/>
        <v>9499.99</v>
      </c>
      <c r="W212" s="37"/>
      <c r="X212" s="37">
        <v>9499.99</v>
      </c>
      <c r="Y212" s="37"/>
      <c r="Z212" s="37"/>
      <c r="AA212" s="37">
        <f t="shared" si="31"/>
        <v>9499.99</v>
      </c>
      <c r="AB212" s="33"/>
      <c r="AC212" s="33"/>
      <c r="AD212" s="33"/>
      <c r="AE212" s="33"/>
    </row>
    <row r="213" spans="1:31" x14ac:dyDescent="0.25">
      <c r="A213" s="33"/>
      <c r="B213" s="33"/>
      <c r="C213" s="3"/>
      <c r="D213" s="3"/>
      <c r="E213" s="3">
        <v>22</v>
      </c>
      <c r="F213" s="36" t="s">
        <v>549</v>
      </c>
      <c r="G213" s="37">
        <v>0</v>
      </c>
      <c r="H213" s="37">
        <v>0</v>
      </c>
      <c r="I213" s="37">
        <v>0</v>
      </c>
      <c r="J213" s="37">
        <v>0</v>
      </c>
      <c r="K213" s="37">
        <v>0</v>
      </c>
      <c r="L213" s="37"/>
      <c r="M213" s="37"/>
      <c r="N213" s="37">
        <v>0</v>
      </c>
      <c r="O213" s="37">
        <v>0</v>
      </c>
      <c r="P213" s="37">
        <v>0</v>
      </c>
      <c r="Q213" s="37">
        <v>0</v>
      </c>
      <c r="R213" s="37">
        <v>0</v>
      </c>
      <c r="S213" s="37"/>
      <c r="T213" s="37"/>
      <c r="U213" s="37">
        <v>0</v>
      </c>
      <c r="V213" s="37">
        <f t="shared" si="30"/>
        <v>0</v>
      </c>
      <c r="W213" s="37"/>
      <c r="X213" s="37">
        <v>0</v>
      </c>
      <c r="Y213" s="37"/>
      <c r="Z213" s="37"/>
      <c r="AA213" s="37">
        <f t="shared" si="31"/>
        <v>0</v>
      </c>
      <c r="AB213" s="33"/>
      <c r="AC213" s="33"/>
      <c r="AD213" s="33"/>
      <c r="AE213" s="33"/>
    </row>
    <row r="214" spans="1:31" x14ac:dyDescent="0.25">
      <c r="A214" s="33"/>
      <c r="B214" s="33"/>
      <c r="C214" s="3"/>
      <c r="D214" s="3"/>
      <c r="E214" s="3">
        <v>23</v>
      </c>
      <c r="F214" s="36" t="s">
        <v>550</v>
      </c>
      <c r="G214" s="37">
        <v>2900</v>
      </c>
      <c r="H214" s="37">
        <v>0</v>
      </c>
      <c r="I214" s="37">
        <v>0</v>
      </c>
      <c r="J214" s="37">
        <v>0</v>
      </c>
      <c r="K214" s="37">
        <v>0</v>
      </c>
      <c r="L214" s="37"/>
      <c r="M214" s="37"/>
      <c r="N214" s="37">
        <v>0</v>
      </c>
      <c r="O214" s="37">
        <v>0</v>
      </c>
      <c r="P214" s="37">
        <v>0</v>
      </c>
      <c r="Q214" s="37">
        <v>0</v>
      </c>
      <c r="R214" s="37">
        <v>0</v>
      </c>
      <c r="S214" s="37"/>
      <c r="T214" s="37"/>
      <c r="U214" s="37">
        <v>0</v>
      </c>
      <c r="V214" s="37">
        <f t="shared" si="30"/>
        <v>2900</v>
      </c>
      <c r="W214" s="37"/>
      <c r="X214" s="37">
        <v>2900</v>
      </c>
      <c r="Y214" s="37"/>
      <c r="Z214" s="37"/>
      <c r="AA214" s="37">
        <f>+X214+Y214-Z214</f>
        <v>2900</v>
      </c>
      <c r="AB214" s="38">
        <f>SUM(AA191:AA214)</f>
        <v>155301.75</v>
      </c>
      <c r="AC214" s="33"/>
      <c r="AD214" s="33"/>
      <c r="AE214" s="33"/>
    </row>
    <row r="215" spans="1:31" x14ac:dyDescent="0.25">
      <c r="A215" s="33"/>
      <c r="B215" s="33"/>
      <c r="C215" s="3"/>
      <c r="D215" s="3"/>
      <c r="E215" s="3">
        <v>24</v>
      </c>
      <c r="F215" s="36" t="s">
        <v>844</v>
      </c>
      <c r="G215" s="37"/>
      <c r="H215" s="37">
        <v>0</v>
      </c>
      <c r="I215" s="37">
        <v>0</v>
      </c>
      <c r="J215" s="37">
        <v>0</v>
      </c>
      <c r="K215" s="37">
        <v>0</v>
      </c>
      <c r="L215" s="37">
        <v>17430</v>
      </c>
      <c r="M215" s="37">
        <v>17430</v>
      </c>
      <c r="N215" s="16">
        <f>+L215+M215</f>
        <v>34860</v>
      </c>
      <c r="O215" s="37">
        <v>0</v>
      </c>
      <c r="P215" s="37">
        <v>0</v>
      </c>
      <c r="Q215" s="37">
        <v>0</v>
      </c>
      <c r="R215" s="37">
        <v>0</v>
      </c>
      <c r="S215" s="37"/>
      <c r="T215" s="37">
        <v>17430</v>
      </c>
      <c r="U215" s="37">
        <v>17430</v>
      </c>
      <c r="V215" s="37">
        <f t="shared" si="30"/>
        <v>17430</v>
      </c>
      <c r="W215" s="37"/>
      <c r="X215" s="37">
        <v>2900</v>
      </c>
      <c r="Y215" s="37"/>
      <c r="Z215" s="37"/>
      <c r="AA215" s="37">
        <f t="shared" si="31"/>
        <v>2900</v>
      </c>
      <c r="AB215" s="38">
        <f>SUM(AA192:AA215)</f>
        <v>153251.75</v>
      </c>
      <c r="AC215" s="33"/>
      <c r="AD215" s="33"/>
      <c r="AE215" s="33"/>
    </row>
    <row r="216" spans="1:31" hidden="1" x14ac:dyDescent="0.25">
      <c r="A216" s="35">
        <v>1</v>
      </c>
      <c r="B216" s="35">
        <v>2</v>
      </c>
      <c r="C216" s="3">
        <v>4</v>
      </c>
      <c r="D216" s="3">
        <v>7</v>
      </c>
      <c r="E216" s="3"/>
      <c r="F216" s="3" t="s">
        <v>137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3"/>
      <c r="AC216" s="33"/>
      <c r="AD216" s="33"/>
      <c r="AE216" s="33"/>
    </row>
    <row r="217" spans="1:31" hidden="1" x14ac:dyDescent="0.25">
      <c r="A217" s="35">
        <v>1</v>
      </c>
      <c r="B217" s="35">
        <v>2</v>
      </c>
      <c r="C217" s="3">
        <v>4</v>
      </c>
      <c r="D217" s="3">
        <v>8</v>
      </c>
      <c r="E217" s="3"/>
      <c r="F217" s="3" t="s">
        <v>138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3"/>
      <c r="AC217" s="33"/>
      <c r="AD217" s="33"/>
      <c r="AE217" s="33"/>
    </row>
    <row r="218" spans="1:31" x14ac:dyDescent="0.25">
      <c r="A218" s="35">
        <v>1</v>
      </c>
      <c r="B218" s="35">
        <v>2</v>
      </c>
      <c r="C218" s="3">
        <v>5</v>
      </c>
      <c r="D218" s="3"/>
      <c r="E218" s="3"/>
      <c r="F218" s="3" t="s">
        <v>65</v>
      </c>
      <c r="G218" s="16">
        <f>+G219+G225+G226+G227+G228</f>
        <v>30712.080000000002</v>
      </c>
      <c r="H218" s="16">
        <f>+H219+H225+H226+H227+H228</f>
        <v>0</v>
      </c>
      <c r="I218" s="16">
        <f>+I219+I225+I226+I227+I228</f>
        <v>0</v>
      </c>
      <c r="J218" s="16">
        <f>+J219+J225+J226+J227+J228</f>
        <v>0</v>
      </c>
      <c r="K218" s="16">
        <f>+K219+K225+K226+K227+K228</f>
        <v>0</v>
      </c>
      <c r="L218" s="16"/>
      <c r="M218" s="16"/>
      <c r="N218" s="16">
        <f>+N219+N225+N226+N227+N228</f>
        <v>0</v>
      </c>
      <c r="O218" s="16">
        <f>+O219+O225+O226+O227+O228</f>
        <v>0</v>
      </c>
      <c r="P218" s="16">
        <f>+P219+P225+P226+P227+P228</f>
        <v>0</v>
      </c>
      <c r="Q218" s="16">
        <f>+Q219+Q225+Q226+Q227+Q228</f>
        <v>0</v>
      </c>
      <c r="R218" s="16">
        <f>+R219+R225+R226+R227+R228</f>
        <v>0</v>
      </c>
      <c r="S218" s="16"/>
      <c r="T218" s="16"/>
      <c r="U218" s="16">
        <f>+U219+U225+U226+U227+U228</f>
        <v>0</v>
      </c>
      <c r="V218" s="16">
        <f>+V219+V225+V226+V227+V228</f>
        <v>30712.080000000002</v>
      </c>
      <c r="W218" s="16"/>
      <c r="X218" s="16">
        <f>+X219+X225+X226+X227+X228</f>
        <v>30711.08</v>
      </c>
      <c r="Y218" s="16"/>
      <c r="Z218" s="16"/>
      <c r="AA218" s="16">
        <f>+AA219+AA225+AA226+AA227+AA228</f>
        <v>30711.08</v>
      </c>
      <c r="AB218" s="33"/>
      <c r="AC218" s="33"/>
      <c r="AD218" s="33"/>
      <c r="AE218" s="33"/>
    </row>
    <row r="219" spans="1:31" x14ac:dyDescent="0.25">
      <c r="A219" s="35">
        <v>1</v>
      </c>
      <c r="B219" s="35">
        <v>2</v>
      </c>
      <c r="C219" s="3">
        <v>5</v>
      </c>
      <c r="D219" s="3">
        <v>1</v>
      </c>
      <c r="E219" s="3"/>
      <c r="F219" s="3" t="s">
        <v>139</v>
      </c>
      <c r="G219" s="44">
        <f>SUM(G220:G224)</f>
        <v>30712.080000000002</v>
      </c>
      <c r="H219" s="44">
        <f>SUM(H220:H224)</f>
        <v>0</v>
      </c>
      <c r="I219" s="44">
        <f>SUM(I220:I224)</f>
        <v>0</v>
      </c>
      <c r="J219" s="44">
        <f>SUM(J220:J224)</f>
        <v>0</v>
      </c>
      <c r="K219" s="44">
        <f>SUM(K220:K224)</f>
        <v>0</v>
      </c>
      <c r="L219" s="44"/>
      <c r="M219" s="44"/>
      <c r="N219" s="44">
        <f>SUM(N220:N224)</f>
        <v>0</v>
      </c>
      <c r="O219" s="44">
        <f>SUM(O220:O224)</f>
        <v>0</v>
      </c>
      <c r="P219" s="44">
        <f>SUM(P220:P224)</f>
        <v>0</v>
      </c>
      <c r="Q219" s="44">
        <f>SUM(Q220:Q224)</f>
        <v>0</v>
      </c>
      <c r="R219" s="44">
        <f>SUM(R220:R224)</f>
        <v>0</v>
      </c>
      <c r="S219" s="44"/>
      <c r="T219" s="44"/>
      <c r="U219" s="44">
        <f>SUM(U220:U224)</f>
        <v>0</v>
      </c>
      <c r="V219" s="44">
        <f>SUM(V220:V224)</f>
        <v>30712.080000000002</v>
      </c>
      <c r="W219" s="44"/>
      <c r="X219" s="44">
        <f>SUM(X220:X224)</f>
        <v>30711.08</v>
      </c>
      <c r="Y219" s="44"/>
      <c r="Z219" s="44"/>
      <c r="AA219" s="44">
        <f>SUM(AA220:AA224)</f>
        <v>30711.08</v>
      </c>
      <c r="AB219" s="33"/>
      <c r="AC219" s="33"/>
      <c r="AD219" s="33"/>
      <c r="AE219" s="33"/>
    </row>
    <row r="220" spans="1:31" x14ac:dyDescent="0.25">
      <c r="A220" s="35"/>
      <c r="B220" s="35"/>
      <c r="C220" s="3"/>
      <c r="D220" s="3"/>
      <c r="E220" s="3">
        <v>1</v>
      </c>
      <c r="F220" s="36" t="s">
        <v>538</v>
      </c>
      <c r="G220" s="37">
        <f>4988+1</f>
        <v>4989</v>
      </c>
      <c r="H220" s="37">
        <v>0</v>
      </c>
      <c r="I220" s="37">
        <v>0</v>
      </c>
      <c r="J220" s="37">
        <v>0</v>
      </c>
      <c r="K220" s="37">
        <v>0</v>
      </c>
      <c r="L220" s="37"/>
      <c r="M220" s="37"/>
      <c r="N220" s="37">
        <v>0</v>
      </c>
      <c r="O220" s="37">
        <v>0</v>
      </c>
      <c r="P220" s="37">
        <v>0</v>
      </c>
      <c r="Q220" s="37">
        <v>0</v>
      </c>
      <c r="R220" s="37">
        <v>0</v>
      </c>
      <c r="S220" s="37"/>
      <c r="T220" s="37"/>
      <c r="U220" s="37">
        <v>0</v>
      </c>
      <c r="V220" s="37">
        <f>+G220+N220-U220</f>
        <v>4989</v>
      </c>
      <c r="W220" s="37"/>
      <c r="X220" s="37">
        <v>4988</v>
      </c>
      <c r="Y220" s="37"/>
      <c r="Z220" s="37"/>
      <c r="AA220" s="37">
        <f>+X220+Y220-Z220</f>
        <v>4988</v>
      </c>
      <c r="AB220" s="33"/>
      <c r="AC220" s="33"/>
      <c r="AD220" s="33"/>
      <c r="AE220" s="33"/>
    </row>
    <row r="221" spans="1:31" x14ac:dyDescent="0.25">
      <c r="A221" s="35"/>
      <c r="B221" s="35"/>
      <c r="C221" s="3"/>
      <c r="D221" s="3"/>
      <c r="E221" s="3">
        <v>2</v>
      </c>
      <c r="F221" s="36" t="s">
        <v>539</v>
      </c>
      <c r="G221" s="37">
        <v>1199</v>
      </c>
      <c r="H221" s="37">
        <v>0</v>
      </c>
      <c r="I221" s="37">
        <v>0</v>
      </c>
      <c r="J221" s="37">
        <v>0</v>
      </c>
      <c r="K221" s="37">
        <v>0</v>
      </c>
      <c r="L221" s="37"/>
      <c r="M221" s="37"/>
      <c r="N221" s="37">
        <v>0</v>
      </c>
      <c r="O221" s="37">
        <v>0</v>
      </c>
      <c r="P221" s="37">
        <v>0</v>
      </c>
      <c r="Q221" s="37">
        <v>0</v>
      </c>
      <c r="R221" s="37">
        <v>0</v>
      </c>
      <c r="S221" s="37"/>
      <c r="T221" s="37"/>
      <c r="U221" s="37">
        <v>0</v>
      </c>
      <c r="V221" s="37">
        <f>+G221+N221-U221</f>
        <v>1199</v>
      </c>
      <c r="W221" s="37"/>
      <c r="X221" s="37">
        <v>1199</v>
      </c>
      <c r="Y221" s="37"/>
      <c r="Z221" s="37"/>
      <c r="AA221" s="37">
        <f>+X221+Y221-Z221</f>
        <v>1199</v>
      </c>
      <c r="AB221" s="33"/>
      <c r="AC221" s="33"/>
      <c r="AD221" s="33"/>
      <c r="AE221" s="33"/>
    </row>
    <row r="222" spans="1:31" x14ac:dyDescent="0.25">
      <c r="A222" s="35"/>
      <c r="B222" s="35"/>
      <c r="C222" s="3"/>
      <c r="D222" s="3"/>
      <c r="E222" s="3">
        <v>3</v>
      </c>
      <c r="F222" s="36" t="s">
        <v>540</v>
      </c>
      <c r="G222" s="37">
        <v>1500</v>
      </c>
      <c r="H222" s="37">
        <v>0</v>
      </c>
      <c r="I222" s="37">
        <v>0</v>
      </c>
      <c r="J222" s="37">
        <v>0</v>
      </c>
      <c r="K222" s="37">
        <v>0</v>
      </c>
      <c r="L222" s="37"/>
      <c r="M222" s="37"/>
      <c r="N222" s="37">
        <v>0</v>
      </c>
      <c r="O222" s="37">
        <v>0</v>
      </c>
      <c r="P222" s="37">
        <v>0</v>
      </c>
      <c r="Q222" s="37">
        <v>0</v>
      </c>
      <c r="R222" s="37">
        <v>0</v>
      </c>
      <c r="S222" s="37"/>
      <c r="T222" s="37"/>
      <c r="U222" s="37">
        <v>0</v>
      </c>
      <c r="V222" s="37">
        <f>+G222+N222-U222</f>
        <v>1500</v>
      </c>
      <c r="W222" s="37"/>
      <c r="X222" s="37">
        <v>1500</v>
      </c>
      <c r="Y222" s="37"/>
      <c r="Z222" s="37"/>
      <c r="AA222" s="37">
        <f>+X222+Y222-Z222</f>
        <v>1500</v>
      </c>
      <c r="AB222" s="33"/>
      <c r="AC222" s="33"/>
      <c r="AD222" s="33"/>
      <c r="AE222" s="33"/>
    </row>
    <row r="223" spans="1:31" x14ac:dyDescent="0.25">
      <c r="A223" s="35"/>
      <c r="B223" s="35"/>
      <c r="C223" s="3"/>
      <c r="D223" s="3"/>
      <c r="E223" s="3">
        <v>4</v>
      </c>
      <c r="F223" s="36" t="s">
        <v>541</v>
      </c>
      <c r="G223" s="37">
        <v>17963</v>
      </c>
      <c r="H223" s="37">
        <v>0</v>
      </c>
      <c r="I223" s="37">
        <v>0</v>
      </c>
      <c r="J223" s="37">
        <v>0</v>
      </c>
      <c r="K223" s="37">
        <v>0</v>
      </c>
      <c r="L223" s="37"/>
      <c r="M223" s="37"/>
      <c r="N223" s="37">
        <v>0</v>
      </c>
      <c r="O223" s="37">
        <v>0</v>
      </c>
      <c r="P223" s="37">
        <v>0</v>
      </c>
      <c r="Q223" s="37">
        <v>0</v>
      </c>
      <c r="R223" s="37">
        <v>0</v>
      </c>
      <c r="S223" s="37"/>
      <c r="T223" s="37"/>
      <c r="U223" s="37">
        <v>0</v>
      </c>
      <c r="V223" s="37">
        <f>+G223+N223-U223</f>
        <v>17963</v>
      </c>
      <c r="W223" s="37"/>
      <c r="X223" s="37">
        <v>17963</v>
      </c>
      <c r="Y223" s="37"/>
      <c r="Z223" s="37"/>
      <c r="AA223" s="37">
        <f>+X223+Y223-Z223</f>
        <v>17963</v>
      </c>
      <c r="AB223" s="33"/>
      <c r="AC223" s="33"/>
      <c r="AD223" s="33"/>
      <c r="AE223" s="33"/>
    </row>
    <row r="224" spans="1:31" x14ac:dyDescent="0.25">
      <c r="A224" s="35"/>
      <c r="B224" s="35"/>
      <c r="C224" s="3"/>
      <c r="D224" s="3"/>
      <c r="E224" s="3">
        <v>5</v>
      </c>
      <c r="F224" s="36" t="s">
        <v>559</v>
      </c>
      <c r="G224" s="37">
        <v>5061.08</v>
      </c>
      <c r="H224" s="37">
        <v>0</v>
      </c>
      <c r="I224" s="37">
        <v>0</v>
      </c>
      <c r="J224" s="37">
        <v>0</v>
      </c>
      <c r="K224" s="37">
        <v>0</v>
      </c>
      <c r="L224" s="37"/>
      <c r="M224" s="37"/>
      <c r="N224" s="37">
        <v>0</v>
      </c>
      <c r="O224" s="37">
        <v>0</v>
      </c>
      <c r="P224" s="37">
        <v>0</v>
      </c>
      <c r="Q224" s="37">
        <v>0</v>
      </c>
      <c r="R224" s="37">
        <v>0</v>
      </c>
      <c r="S224" s="37"/>
      <c r="T224" s="37"/>
      <c r="U224" s="37">
        <v>0</v>
      </c>
      <c r="V224" s="37">
        <f>+G224+N224-U224</f>
        <v>5061.08</v>
      </c>
      <c r="W224" s="37"/>
      <c r="X224" s="37">
        <v>5061.08</v>
      </c>
      <c r="Y224" s="37"/>
      <c r="Z224" s="37"/>
      <c r="AA224" s="37">
        <f>+X224+Y224-Z224</f>
        <v>5061.08</v>
      </c>
      <c r="AB224" s="33"/>
      <c r="AC224" s="33"/>
      <c r="AD224" s="33"/>
      <c r="AE224" s="33"/>
    </row>
    <row r="225" spans="1:31" hidden="1" x14ac:dyDescent="0.25">
      <c r="A225" s="35">
        <v>1</v>
      </c>
      <c r="B225" s="35">
        <v>2</v>
      </c>
      <c r="C225" s="3">
        <v>5</v>
      </c>
      <c r="D225" s="3">
        <v>2</v>
      </c>
      <c r="E225" s="3"/>
      <c r="F225" s="3" t="s">
        <v>140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3"/>
      <c r="AC225" s="33"/>
      <c r="AD225" s="33"/>
      <c r="AE225" s="33"/>
    </row>
    <row r="226" spans="1:31" hidden="1" x14ac:dyDescent="0.25">
      <c r="A226" s="35">
        <v>1</v>
      </c>
      <c r="B226" s="35">
        <v>2</v>
      </c>
      <c r="C226" s="3">
        <v>5</v>
      </c>
      <c r="D226" s="3">
        <v>3</v>
      </c>
      <c r="E226" s="3"/>
      <c r="F226" s="3" t="s">
        <v>141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3"/>
      <c r="AC226" s="33"/>
      <c r="AD226" s="33"/>
      <c r="AE226" s="33"/>
    </row>
    <row r="227" spans="1:31" hidden="1" x14ac:dyDescent="0.25">
      <c r="A227" s="35">
        <v>1</v>
      </c>
      <c r="B227" s="35">
        <v>2</v>
      </c>
      <c r="C227" s="3">
        <v>5</v>
      </c>
      <c r="D227" s="3">
        <v>4</v>
      </c>
      <c r="E227" s="3"/>
      <c r="F227" s="3" t="s">
        <v>142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9"/>
      <c r="W227" s="9"/>
      <c r="X227" s="3"/>
      <c r="Y227" s="9"/>
      <c r="Z227" s="9"/>
      <c r="AA227" s="9"/>
      <c r="AB227" s="33"/>
      <c r="AC227" s="33"/>
      <c r="AD227" s="33"/>
      <c r="AE227" s="33"/>
    </row>
    <row r="228" spans="1:31" hidden="1" x14ac:dyDescent="0.25">
      <c r="A228" s="35">
        <v>1</v>
      </c>
      <c r="B228" s="35">
        <v>2</v>
      </c>
      <c r="C228" s="3">
        <v>5</v>
      </c>
      <c r="D228" s="3">
        <v>9</v>
      </c>
      <c r="E228" s="3"/>
      <c r="F228" s="3" t="s">
        <v>143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9"/>
      <c r="W228" s="9"/>
      <c r="X228" s="3"/>
      <c r="Y228" s="9"/>
      <c r="Z228" s="9"/>
      <c r="AA228" s="9"/>
      <c r="AB228" s="33"/>
      <c r="AC228" s="33"/>
      <c r="AD228" s="33"/>
      <c r="AE228" s="33"/>
    </row>
    <row r="229" spans="1:31" ht="24" hidden="1" x14ac:dyDescent="0.25">
      <c r="A229" s="39">
        <v>1</v>
      </c>
      <c r="B229" s="39">
        <v>2</v>
      </c>
      <c r="C229" s="3">
        <v>6</v>
      </c>
      <c r="D229" s="3"/>
      <c r="E229" s="3"/>
      <c r="F229" s="3" t="s">
        <v>66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3"/>
      <c r="AC229" s="33"/>
      <c r="AD229" s="33"/>
      <c r="AE229" s="33"/>
    </row>
    <row r="230" spans="1:31" hidden="1" x14ac:dyDescent="0.25">
      <c r="A230" s="35">
        <v>1</v>
      </c>
      <c r="B230" s="35">
        <v>2</v>
      </c>
      <c r="C230" s="3">
        <v>6</v>
      </c>
      <c r="D230" s="3">
        <v>1</v>
      </c>
      <c r="E230" s="3"/>
      <c r="F230" s="3" t="s">
        <v>144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3"/>
      <c r="AC230" s="33"/>
      <c r="AD230" s="33"/>
      <c r="AE230" s="33"/>
    </row>
    <row r="231" spans="1:31" hidden="1" x14ac:dyDescent="0.25">
      <c r="A231" s="35">
        <v>1</v>
      </c>
      <c r="B231" s="35">
        <v>2</v>
      </c>
      <c r="C231" s="3">
        <v>6</v>
      </c>
      <c r="D231" s="3">
        <v>2</v>
      </c>
      <c r="E231" s="3"/>
      <c r="F231" s="3" t="s">
        <v>145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3"/>
      <c r="AC231" s="33"/>
      <c r="AD231" s="33"/>
      <c r="AE231" s="33"/>
    </row>
    <row r="232" spans="1:31" hidden="1" x14ac:dyDescent="0.25">
      <c r="A232" s="35">
        <v>1</v>
      </c>
      <c r="B232" s="35">
        <v>2</v>
      </c>
      <c r="C232" s="3">
        <v>6</v>
      </c>
      <c r="D232" s="3">
        <v>3</v>
      </c>
      <c r="E232" s="3"/>
      <c r="F232" s="3" t="s">
        <v>146</v>
      </c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3"/>
      <c r="AC232" s="33"/>
      <c r="AD232" s="33"/>
      <c r="AE232" s="33"/>
    </row>
    <row r="233" spans="1:31" hidden="1" x14ac:dyDescent="0.25">
      <c r="A233" s="35">
        <v>1</v>
      </c>
      <c r="B233" s="35">
        <v>2</v>
      </c>
      <c r="C233" s="3">
        <v>6</v>
      </c>
      <c r="D233" s="3">
        <v>4</v>
      </c>
      <c r="E233" s="3"/>
      <c r="F233" s="3" t="s">
        <v>147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3"/>
      <c r="AC233" s="33"/>
      <c r="AD233" s="33"/>
      <c r="AE233" s="33"/>
    </row>
    <row r="234" spans="1:31" hidden="1" x14ac:dyDescent="0.25">
      <c r="A234" s="3">
        <v>1</v>
      </c>
      <c r="B234" s="3">
        <v>2</v>
      </c>
      <c r="C234" s="3">
        <v>6</v>
      </c>
      <c r="D234" s="3">
        <v>5</v>
      </c>
      <c r="E234" s="3"/>
      <c r="F234" s="3" t="s">
        <v>148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5"/>
      <c r="W234" s="5"/>
      <c r="X234" s="3"/>
      <c r="Y234" s="5"/>
      <c r="Z234" s="5"/>
      <c r="AA234" s="5"/>
      <c r="AB234" s="33"/>
      <c r="AC234" s="33"/>
      <c r="AD234" s="33"/>
      <c r="AE234" s="33"/>
    </row>
    <row r="235" spans="1:31" x14ac:dyDescent="0.25">
      <c r="A235" s="3">
        <v>1</v>
      </c>
      <c r="B235" s="3">
        <v>2</v>
      </c>
      <c r="C235" s="3">
        <v>7</v>
      </c>
      <c r="D235" s="3"/>
      <c r="E235" s="3"/>
      <c r="F235" s="4" t="s">
        <v>67</v>
      </c>
      <c r="G235" s="17">
        <f>SUM(G236:G241)</f>
        <v>15000</v>
      </c>
      <c r="H235" s="17">
        <f>SUM(H236:H241)</f>
        <v>0</v>
      </c>
      <c r="I235" s="17">
        <f>SUM(I236:I241)</f>
        <v>0</v>
      </c>
      <c r="J235" s="17">
        <f>SUM(J236:J241)</f>
        <v>0</v>
      </c>
      <c r="K235" s="17">
        <f>SUM(K236:K241)</f>
        <v>0</v>
      </c>
      <c r="L235" s="17"/>
      <c r="M235" s="17"/>
      <c r="N235" s="17">
        <f>SUM(N236:N241)</f>
        <v>0</v>
      </c>
      <c r="O235" s="17">
        <f>SUM(O236:O241)</f>
        <v>0</v>
      </c>
      <c r="P235" s="17">
        <f>SUM(P236:P241)</f>
        <v>0</v>
      </c>
      <c r="Q235" s="17">
        <f>SUM(Q236:Q241)</f>
        <v>0</v>
      </c>
      <c r="R235" s="17">
        <f>SUM(R236:R241)</f>
        <v>0</v>
      </c>
      <c r="S235" s="17"/>
      <c r="T235" s="17"/>
      <c r="U235" s="17">
        <f>SUM(U236:U241)</f>
        <v>0</v>
      </c>
      <c r="V235" s="17">
        <f>SUM(V236:V241)</f>
        <v>15000</v>
      </c>
      <c r="W235" s="17"/>
      <c r="X235" s="17">
        <f>SUM(X236:X241)</f>
        <v>15000</v>
      </c>
      <c r="Y235" s="17"/>
      <c r="Z235" s="17"/>
      <c r="AA235" s="17">
        <f>SUM(AA236:AA241)</f>
        <v>15000</v>
      </c>
      <c r="AB235" s="33"/>
      <c r="AC235" s="33"/>
      <c r="AD235" s="33"/>
      <c r="AE235" s="33"/>
    </row>
    <row r="236" spans="1:31" hidden="1" x14ac:dyDescent="0.25">
      <c r="A236" s="3">
        <v>1</v>
      </c>
      <c r="B236" s="3">
        <v>2</v>
      </c>
      <c r="C236" s="3">
        <v>7</v>
      </c>
      <c r="D236" s="3">
        <v>1</v>
      </c>
      <c r="E236" s="3"/>
      <c r="F236" s="3" t="s">
        <v>149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5"/>
      <c r="W236" s="5"/>
      <c r="X236" s="3"/>
      <c r="Y236" s="5"/>
      <c r="Z236" s="5"/>
      <c r="AA236" s="5"/>
      <c r="AB236" s="33"/>
      <c r="AC236" s="33"/>
      <c r="AD236" s="33"/>
      <c r="AE236" s="33"/>
    </row>
    <row r="237" spans="1:31" ht="24" hidden="1" x14ac:dyDescent="0.25">
      <c r="A237" s="3">
        <v>1</v>
      </c>
      <c r="B237" s="3">
        <v>2</v>
      </c>
      <c r="C237" s="3">
        <v>7</v>
      </c>
      <c r="D237" s="3">
        <v>2</v>
      </c>
      <c r="E237" s="3"/>
      <c r="F237" s="3" t="s">
        <v>150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5"/>
      <c r="W237" s="5"/>
      <c r="X237" s="3"/>
      <c r="Y237" s="5"/>
      <c r="Z237" s="5"/>
      <c r="AA237" s="5"/>
      <c r="AB237" s="33"/>
      <c r="AC237" s="33"/>
      <c r="AD237" s="33"/>
      <c r="AE237" s="33"/>
    </row>
    <row r="238" spans="1:31" hidden="1" x14ac:dyDescent="0.25">
      <c r="A238" s="3">
        <v>1</v>
      </c>
      <c r="B238" s="3">
        <v>2</v>
      </c>
      <c r="C238" s="3">
        <v>7</v>
      </c>
      <c r="D238" s="3">
        <v>3</v>
      </c>
      <c r="E238" s="3"/>
      <c r="F238" s="3" t="s">
        <v>151</v>
      </c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5"/>
      <c r="W238" s="5"/>
      <c r="X238" s="3"/>
      <c r="Y238" s="5"/>
      <c r="Z238" s="5"/>
      <c r="AA238" s="5"/>
      <c r="AB238" s="33"/>
      <c r="AC238" s="33"/>
      <c r="AD238" s="33"/>
      <c r="AE238" s="33"/>
    </row>
    <row r="239" spans="1:31" hidden="1" x14ac:dyDescent="0.25">
      <c r="A239" s="3">
        <v>1</v>
      </c>
      <c r="B239" s="3">
        <v>2</v>
      </c>
      <c r="C239" s="3">
        <v>7</v>
      </c>
      <c r="D239" s="3">
        <v>4</v>
      </c>
      <c r="E239" s="3"/>
      <c r="F239" s="3" t="s">
        <v>152</v>
      </c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5"/>
      <c r="W239" s="5"/>
      <c r="X239" s="3"/>
      <c r="Y239" s="5"/>
      <c r="Z239" s="5"/>
      <c r="AA239" s="5"/>
      <c r="AB239" s="33"/>
      <c r="AC239" s="33"/>
      <c r="AD239" s="33"/>
      <c r="AE239" s="33"/>
    </row>
    <row r="240" spans="1:31" ht="24" hidden="1" x14ac:dyDescent="0.25">
      <c r="A240" s="3">
        <v>1</v>
      </c>
      <c r="B240" s="3">
        <v>2</v>
      </c>
      <c r="C240" s="3">
        <v>7</v>
      </c>
      <c r="D240" s="3">
        <v>5</v>
      </c>
      <c r="E240" s="3"/>
      <c r="F240" s="3" t="s">
        <v>153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5"/>
      <c r="W240" s="5"/>
      <c r="X240" s="3"/>
      <c r="Y240" s="5"/>
      <c r="Z240" s="5"/>
      <c r="AA240" s="5"/>
      <c r="AB240" s="33"/>
      <c r="AC240" s="33"/>
      <c r="AD240" s="33"/>
      <c r="AE240" s="33"/>
    </row>
    <row r="241" spans="1:31" x14ac:dyDescent="0.25">
      <c r="A241" s="3">
        <v>1</v>
      </c>
      <c r="B241" s="3">
        <v>2</v>
      </c>
      <c r="C241" s="3">
        <v>7</v>
      </c>
      <c r="D241" s="3">
        <v>9</v>
      </c>
      <c r="E241" s="3"/>
      <c r="F241" s="3" t="s">
        <v>154</v>
      </c>
      <c r="G241" s="10">
        <f t="shared" ref="G241:U241" si="32">+G242</f>
        <v>15000</v>
      </c>
      <c r="H241" s="10">
        <f t="shared" si="32"/>
        <v>0</v>
      </c>
      <c r="I241" s="10">
        <f t="shared" si="32"/>
        <v>0</v>
      </c>
      <c r="J241" s="10">
        <f t="shared" si="32"/>
        <v>0</v>
      </c>
      <c r="K241" s="10">
        <f t="shared" si="32"/>
        <v>0</v>
      </c>
      <c r="L241" s="10"/>
      <c r="M241" s="10"/>
      <c r="N241" s="10">
        <f t="shared" si="32"/>
        <v>0</v>
      </c>
      <c r="O241" s="10">
        <f t="shared" si="32"/>
        <v>0</v>
      </c>
      <c r="P241" s="10">
        <f t="shared" si="32"/>
        <v>0</v>
      </c>
      <c r="Q241" s="10">
        <f t="shared" si="32"/>
        <v>0</v>
      </c>
      <c r="R241" s="10">
        <f t="shared" si="32"/>
        <v>0</v>
      </c>
      <c r="S241" s="10"/>
      <c r="T241" s="10"/>
      <c r="U241" s="10">
        <f t="shared" si="32"/>
        <v>0</v>
      </c>
      <c r="V241" s="10">
        <f>+V242</f>
        <v>15000</v>
      </c>
      <c r="W241" s="10"/>
      <c r="X241" s="10">
        <f>+X242</f>
        <v>15000</v>
      </c>
      <c r="Y241" s="10"/>
      <c r="Z241" s="10"/>
      <c r="AA241" s="10">
        <f>+AA242</f>
        <v>15000</v>
      </c>
      <c r="AB241" s="33"/>
      <c r="AC241" s="33"/>
      <c r="AD241" s="33"/>
      <c r="AE241" s="33"/>
    </row>
    <row r="242" spans="1:31" x14ac:dyDescent="0.25">
      <c r="A242" s="3"/>
      <c r="B242" s="3"/>
      <c r="C242" s="3"/>
      <c r="D242" s="3"/>
      <c r="E242" s="3"/>
      <c r="F242" s="36" t="s">
        <v>542</v>
      </c>
      <c r="G242" s="40">
        <v>15000</v>
      </c>
      <c r="H242" s="37">
        <v>0</v>
      </c>
      <c r="I242" s="37">
        <v>0</v>
      </c>
      <c r="J242" s="37">
        <v>0</v>
      </c>
      <c r="K242" s="37">
        <v>0</v>
      </c>
      <c r="L242" s="37"/>
      <c r="M242" s="37"/>
      <c r="N242" s="37">
        <v>0</v>
      </c>
      <c r="O242" s="37">
        <v>0</v>
      </c>
      <c r="P242" s="37">
        <v>0</v>
      </c>
      <c r="Q242" s="37">
        <v>0</v>
      </c>
      <c r="R242" s="37">
        <v>0</v>
      </c>
      <c r="S242" s="37"/>
      <c r="T242" s="37"/>
      <c r="U242" s="37">
        <v>0</v>
      </c>
      <c r="V242" s="37">
        <f>+G242+N242-U242</f>
        <v>15000</v>
      </c>
      <c r="W242" s="37"/>
      <c r="X242" s="40">
        <v>15000</v>
      </c>
      <c r="Y242" s="37"/>
      <c r="Z242" s="37"/>
      <c r="AA242" s="37">
        <f>+X242+Y242-Z242</f>
        <v>15000</v>
      </c>
      <c r="AB242" s="33"/>
      <c r="AC242" s="33"/>
      <c r="AD242" s="33"/>
      <c r="AE242" s="33"/>
    </row>
    <row r="243" spans="1:31" ht="24" hidden="1" x14ac:dyDescent="0.25">
      <c r="A243" s="3">
        <v>1</v>
      </c>
      <c r="B243" s="3">
        <v>2</v>
      </c>
      <c r="C243" s="3">
        <v>8</v>
      </c>
      <c r="D243" s="3"/>
      <c r="E243" s="3"/>
      <c r="F243" s="4" t="s">
        <v>68</v>
      </c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5"/>
      <c r="W243" s="5"/>
      <c r="X243" s="4"/>
      <c r="Y243" s="5"/>
      <c r="Z243" s="5"/>
      <c r="AA243" s="5"/>
      <c r="AB243" s="33"/>
      <c r="AC243" s="33"/>
      <c r="AD243" s="33"/>
      <c r="AE243" s="33"/>
    </row>
    <row r="244" spans="1:31" ht="24" hidden="1" x14ac:dyDescent="0.25">
      <c r="A244" s="3">
        <v>1</v>
      </c>
      <c r="B244" s="3">
        <v>2</v>
      </c>
      <c r="C244" s="3">
        <v>8</v>
      </c>
      <c r="D244" s="3">
        <v>1</v>
      </c>
      <c r="E244" s="3"/>
      <c r="F244" s="3" t="s">
        <v>155</v>
      </c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5"/>
      <c r="W244" s="5"/>
      <c r="X244" s="3"/>
      <c r="Y244" s="5"/>
      <c r="Z244" s="5"/>
      <c r="AA244" s="5"/>
      <c r="AB244" s="33"/>
      <c r="AC244" s="33"/>
      <c r="AD244" s="33"/>
      <c r="AE244" s="33"/>
    </row>
    <row r="245" spans="1:31" ht="24" hidden="1" x14ac:dyDescent="0.25">
      <c r="A245" s="3">
        <v>1</v>
      </c>
      <c r="B245" s="3">
        <v>2</v>
      </c>
      <c r="C245" s="3">
        <v>8</v>
      </c>
      <c r="D245" s="3">
        <v>2</v>
      </c>
      <c r="E245" s="3"/>
      <c r="F245" s="3" t="s">
        <v>156</v>
      </c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5"/>
      <c r="W245" s="5"/>
      <c r="X245" s="3"/>
      <c r="Y245" s="5"/>
      <c r="Z245" s="5"/>
      <c r="AA245" s="5"/>
      <c r="AB245" s="33"/>
      <c r="AC245" s="33"/>
      <c r="AD245" s="33"/>
      <c r="AE245" s="33"/>
    </row>
    <row r="246" spans="1:31" ht="24" hidden="1" x14ac:dyDescent="0.25">
      <c r="A246" s="3">
        <v>1</v>
      </c>
      <c r="B246" s="3">
        <v>2</v>
      </c>
      <c r="C246" s="3">
        <v>8</v>
      </c>
      <c r="D246" s="3">
        <v>3</v>
      </c>
      <c r="E246" s="3"/>
      <c r="F246" s="3" t="s">
        <v>157</v>
      </c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5"/>
      <c r="W246" s="5"/>
      <c r="X246" s="3"/>
      <c r="Y246" s="5"/>
      <c r="Z246" s="5"/>
      <c r="AA246" s="5"/>
      <c r="AB246" s="33"/>
      <c r="AC246" s="33"/>
      <c r="AD246" s="33"/>
      <c r="AE246" s="33"/>
    </row>
    <row r="247" spans="1:31" ht="24" hidden="1" x14ac:dyDescent="0.25">
      <c r="A247" s="3">
        <v>1</v>
      </c>
      <c r="B247" s="3">
        <v>2</v>
      </c>
      <c r="C247" s="3">
        <v>8</v>
      </c>
      <c r="D247" s="3">
        <v>4</v>
      </c>
      <c r="E247" s="3"/>
      <c r="F247" s="3" t="s">
        <v>158</v>
      </c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5"/>
      <c r="W247" s="5"/>
      <c r="X247" s="3"/>
      <c r="Y247" s="5"/>
      <c r="Z247" s="5"/>
      <c r="AA247" s="5"/>
      <c r="AB247" s="33"/>
      <c r="AC247" s="33"/>
      <c r="AD247" s="33"/>
      <c r="AE247" s="33"/>
    </row>
    <row r="248" spans="1:31" ht="24" hidden="1" x14ac:dyDescent="0.25">
      <c r="A248" s="3">
        <v>1</v>
      </c>
      <c r="B248" s="3">
        <v>2</v>
      </c>
      <c r="C248" s="3">
        <v>8</v>
      </c>
      <c r="D248" s="3">
        <v>9</v>
      </c>
      <c r="E248" s="3"/>
      <c r="F248" s="3" t="s">
        <v>159</v>
      </c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5"/>
      <c r="W248" s="5"/>
      <c r="X248" s="3"/>
      <c r="Y248" s="5"/>
      <c r="Z248" s="5"/>
      <c r="AA248" s="5"/>
      <c r="AB248" s="33"/>
      <c r="AC248" s="33"/>
      <c r="AD248" s="33"/>
      <c r="AE248" s="33"/>
    </row>
    <row r="249" spans="1:31" hidden="1" x14ac:dyDescent="0.25">
      <c r="A249" s="3">
        <v>1</v>
      </c>
      <c r="B249" s="3">
        <v>2</v>
      </c>
      <c r="C249" s="3">
        <v>9</v>
      </c>
      <c r="D249" s="3"/>
      <c r="E249" s="3"/>
      <c r="F249" s="4" t="s">
        <v>69</v>
      </c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5"/>
      <c r="W249" s="5"/>
      <c r="X249" s="4"/>
      <c r="Y249" s="5"/>
      <c r="Z249" s="5"/>
      <c r="AA249" s="5"/>
      <c r="AB249" s="33"/>
      <c r="AC249" s="33"/>
      <c r="AD249" s="33"/>
      <c r="AE249" s="33"/>
    </row>
    <row r="250" spans="1:31" hidden="1" x14ac:dyDescent="0.25">
      <c r="A250" s="3">
        <v>1</v>
      </c>
      <c r="B250" s="3">
        <v>2</v>
      </c>
      <c r="C250" s="3">
        <v>9</v>
      </c>
      <c r="D250" s="3">
        <v>1</v>
      </c>
      <c r="E250" s="3"/>
      <c r="F250" s="3" t="s">
        <v>160</v>
      </c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5"/>
      <c r="W250" s="5"/>
      <c r="X250" s="3"/>
      <c r="Y250" s="5"/>
      <c r="Z250" s="5"/>
      <c r="AA250" s="5"/>
      <c r="AB250" s="33"/>
      <c r="AC250" s="33"/>
      <c r="AD250" s="33"/>
      <c r="AE250" s="33"/>
    </row>
    <row r="251" spans="1:31" hidden="1" x14ac:dyDescent="0.25">
      <c r="A251" s="3">
        <v>1</v>
      </c>
      <c r="B251" s="3">
        <v>2</v>
      </c>
      <c r="C251" s="3">
        <v>9</v>
      </c>
      <c r="D251" s="3">
        <v>2</v>
      </c>
      <c r="E251" s="3"/>
      <c r="F251" s="3" t="s">
        <v>161</v>
      </c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5"/>
      <c r="W251" s="5"/>
      <c r="X251" s="3"/>
      <c r="Y251" s="5"/>
      <c r="Z251" s="5"/>
      <c r="AA251" s="5"/>
      <c r="AB251" s="33"/>
      <c r="AC251" s="33"/>
      <c r="AD251" s="33"/>
      <c r="AE251" s="33"/>
    </row>
    <row r="252" spans="1:31" hidden="1" x14ac:dyDescent="0.25">
      <c r="A252" s="3">
        <v>1</v>
      </c>
      <c r="B252" s="3">
        <v>2</v>
      </c>
      <c r="C252" s="3">
        <v>9</v>
      </c>
      <c r="D252" s="3">
        <v>3</v>
      </c>
      <c r="E252" s="3"/>
      <c r="F252" s="3" t="s">
        <v>162</v>
      </c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5"/>
      <c r="W252" s="5"/>
      <c r="X252" s="3"/>
      <c r="Y252" s="5"/>
      <c r="Z252" s="5"/>
      <c r="AA252" s="5"/>
      <c r="AB252" s="33"/>
      <c r="AC252" s="33"/>
      <c r="AD252" s="33"/>
      <c r="AE252" s="33"/>
    </row>
    <row r="253" spans="1:31" x14ac:dyDescent="0.25">
      <c r="A253" s="12">
        <v>2</v>
      </c>
      <c r="B253" s="12"/>
      <c r="C253" s="12"/>
      <c r="D253" s="12"/>
      <c r="E253" s="12"/>
      <c r="F253" s="12" t="s">
        <v>0</v>
      </c>
      <c r="G253" s="7">
        <f>+G254+G338</f>
        <v>10061261</v>
      </c>
      <c r="H253" s="7">
        <f t="shared" ref="H253:M253" si="33">+H254+H338</f>
        <v>16677428</v>
      </c>
      <c r="I253" s="7">
        <f t="shared" si="33"/>
        <v>4870409</v>
      </c>
      <c r="J253" s="7">
        <f t="shared" si="33"/>
        <v>2642023</v>
      </c>
      <c r="K253" s="7">
        <f t="shared" si="33"/>
        <v>3065039</v>
      </c>
      <c r="L253" s="7">
        <f t="shared" si="33"/>
        <v>9273957</v>
      </c>
      <c r="M253" s="7">
        <f t="shared" si="33"/>
        <v>0</v>
      </c>
      <c r="N253" s="7">
        <f>+N254+N338</f>
        <v>46497381</v>
      </c>
      <c r="O253" s="7">
        <f t="shared" ref="O253:T253" si="34">+O254+O338</f>
        <v>14086341</v>
      </c>
      <c r="P253" s="7">
        <f t="shared" si="34"/>
        <v>186534</v>
      </c>
      <c r="Q253" s="7">
        <f t="shared" si="34"/>
        <v>3981003</v>
      </c>
      <c r="R253" s="7">
        <f t="shared" si="34"/>
        <v>260515</v>
      </c>
      <c r="S253" s="7">
        <f t="shared" si="34"/>
        <v>9464702</v>
      </c>
      <c r="T253" s="7">
        <f t="shared" si="34"/>
        <v>7463803</v>
      </c>
      <c r="U253" s="7">
        <f>+U254+U338</f>
        <v>36577255</v>
      </c>
      <c r="V253" s="7">
        <f>+V254+V338</f>
        <v>141135</v>
      </c>
      <c r="W253" s="7"/>
      <c r="X253" s="7">
        <f>+X254+X338</f>
        <v>6736429</v>
      </c>
      <c r="Y253" s="7"/>
      <c r="Z253" s="7"/>
      <c r="AA253" s="7">
        <f>+AA254+AA338</f>
        <v>2736429</v>
      </c>
      <c r="AB253" s="33"/>
      <c r="AC253" s="33"/>
      <c r="AD253" s="33"/>
      <c r="AE253" s="33"/>
    </row>
    <row r="254" spans="1:31" x14ac:dyDescent="0.25">
      <c r="A254" s="2">
        <v>2</v>
      </c>
      <c r="B254" s="2">
        <v>1</v>
      </c>
      <c r="C254" s="2"/>
      <c r="D254" s="2"/>
      <c r="E254" s="2"/>
      <c r="F254" s="2" t="s">
        <v>163</v>
      </c>
      <c r="G254" s="5">
        <f>+G255+G301+G305+G309+G312+G316+G330+G334</f>
        <v>10061261</v>
      </c>
      <c r="H254" s="5">
        <f t="shared" ref="H254:M254" si="35">+H255+H301+H305+H309+H312+H316+H330+H334</f>
        <v>16677428</v>
      </c>
      <c r="I254" s="5">
        <f t="shared" si="35"/>
        <v>4870409</v>
      </c>
      <c r="J254" s="5">
        <f t="shared" si="35"/>
        <v>2642023</v>
      </c>
      <c r="K254" s="5">
        <f t="shared" si="35"/>
        <v>3065039</v>
      </c>
      <c r="L254" s="5">
        <f t="shared" si="35"/>
        <v>9273957</v>
      </c>
      <c r="M254" s="5">
        <f t="shared" si="35"/>
        <v>0</v>
      </c>
      <c r="N254" s="5">
        <f>+N255+N301+N305+N309+N312+N316+N330+N334</f>
        <v>46497381</v>
      </c>
      <c r="O254" s="5">
        <f t="shared" ref="O254:T254" si="36">+O255+O301+O305+O309+O312+O316+O330+O334</f>
        <v>14086341</v>
      </c>
      <c r="P254" s="5">
        <f t="shared" si="36"/>
        <v>186534</v>
      </c>
      <c r="Q254" s="5">
        <f t="shared" si="36"/>
        <v>3981003</v>
      </c>
      <c r="R254" s="5">
        <f t="shared" si="36"/>
        <v>260515</v>
      </c>
      <c r="S254" s="5">
        <f t="shared" si="36"/>
        <v>9464702</v>
      </c>
      <c r="T254" s="5">
        <f t="shared" si="36"/>
        <v>7463803</v>
      </c>
      <c r="U254" s="5">
        <f>+U255+U301+U305+U309+U312+U316+U330+U334</f>
        <v>36577255</v>
      </c>
      <c r="V254" s="5">
        <f>+V255+V301+V305+V309+V312+V316+V330+V334</f>
        <v>141135</v>
      </c>
      <c r="W254" s="5"/>
      <c r="X254" s="5">
        <f>+X255+X301+X305+X309+X312+X316+X330+X334</f>
        <v>6736429</v>
      </c>
      <c r="Y254" s="5"/>
      <c r="Z254" s="5"/>
      <c r="AA254" s="5">
        <f>+AA255+AA301+AA305+AA309+AA312+AA316+AA330+AA334</f>
        <v>2736429</v>
      </c>
      <c r="AB254" s="33"/>
      <c r="AC254" s="33"/>
      <c r="AD254" s="33"/>
      <c r="AE254" s="33"/>
    </row>
    <row r="255" spans="1:31" x14ac:dyDescent="0.25">
      <c r="A255" s="8">
        <v>2</v>
      </c>
      <c r="B255" s="8">
        <v>1</v>
      </c>
      <c r="C255" s="8">
        <v>1</v>
      </c>
      <c r="D255" s="8"/>
      <c r="E255" s="8"/>
      <c r="F255" s="11" t="s">
        <v>43</v>
      </c>
      <c r="G255" s="7">
        <f>SUM(G256:G264)</f>
        <v>9750399</v>
      </c>
      <c r="H255" s="7">
        <f t="shared" ref="H255:M255" si="37">SUM(H256:H264)</f>
        <v>16084975</v>
      </c>
      <c r="I255" s="7">
        <f t="shared" si="37"/>
        <v>4729358</v>
      </c>
      <c r="J255" s="7">
        <f t="shared" si="37"/>
        <v>2439363</v>
      </c>
      <c r="K255" s="7">
        <f t="shared" si="37"/>
        <v>3065039</v>
      </c>
      <c r="L255" s="7">
        <f t="shared" si="37"/>
        <v>9273957</v>
      </c>
      <c r="M255" s="7">
        <f t="shared" si="37"/>
        <v>0</v>
      </c>
      <c r="N255" s="7">
        <f>SUM(N256:N264)</f>
        <v>44178775</v>
      </c>
      <c r="O255" s="7">
        <f t="shared" ref="O255:T255" si="38">SUM(O256:O264)</f>
        <v>13640278</v>
      </c>
      <c r="P255" s="7">
        <f t="shared" si="38"/>
        <v>201</v>
      </c>
      <c r="Q255" s="7">
        <f t="shared" si="38"/>
        <v>3808000</v>
      </c>
      <c r="R255" s="7">
        <f t="shared" si="38"/>
        <v>97156</v>
      </c>
      <c r="S255" s="7">
        <f t="shared" si="38"/>
        <v>9464702</v>
      </c>
      <c r="T255" s="7">
        <f t="shared" si="38"/>
        <v>7463803</v>
      </c>
      <c r="U255" s="7">
        <f>SUM(U256:U264)</f>
        <v>34474140</v>
      </c>
      <c r="V255" s="7">
        <f>SUM(V256:V264)</f>
        <v>45764</v>
      </c>
      <c r="W255" s="7"/>
      <c r="X255" s="7">
        <f>SUM(X256:X264)</f>
        <v>6457326</v>
      </c>
      <c r="Y255" s="7"/>
      <c r="Z255" s="7"/>
      <c r="AA255" s="7">
        <f>SUM(AA256:AA264)</f>
        <v>2457326</v>
      </c>
      <c r="AB255" s="33"/>
      <c r="AC255" s="33"/>
      <c r="AD255" s="33"/>
      <c r="AE255" s="33"/>
    </row>
    <row r="256" spans="1:31" hidden="1" x14ac:dyDescent="0.25">
      <c r="A256" s="3">
        <v>2</v>
      </c>
      <c r="B256" s="3">
        <v>1</v>
      </c>
      <c r="C256" s="3">
        <v>1</v>
      </c>
      <c r="D256" s="3">
        <v>1</v>
      </c>
      <c r="E256" s="3"/>
      <c r="F256" s="3" t="s">
        <v>164</v>
      </c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5"/>
      <c r="W256" s="5"/>
      <c r="X256" s="3"/>
      <c r="Y256" s="5"/>
      <c r="Z256" s="5"/>
      <c r="AA256" s="5"/>
      <c r="AB256" s="33"/>
      <c r="AC256" s="33"/>
      <c r="AD256" s="33"/>
      <c r="AE256" s="33"/>
    </row>
    <row r="257" spans="1:31" hidden="1" x14ac:dyDescent="0.25">
      <c r="A257" s="3">
        <v>2</v>
      </c>
      <c r="B257" s="3">
        <v>1</v>
      </c>
      <c r="C257" s="3">
        <v>1</v>
      </c>
      <c r="D257" s="3">
        <v>2</v>
      </c>
      <c r="E257" s="3"/>
      <c r="F257" s="3" t="s">
        <v>165</v>
      </c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5"/>
      <c r="W257" s="5"/>
      <c r="X257" s="3"/>
      <c r="Y257" s="5"/>
      <c r="Z257" s="5"/>
      <c r="AA257" s="5"/>
      <c r="AB257" s="33"/>
      <c r="AC257" s="33"/>
      <c r="AD257" s="33"/>
      <c r="AE257" s="33"/>
    </row>
    <row r="258" spans="1:31" ht="24" hidden="1" x14ac:dyDescent="0.25">
      <c r="A258" s="3">
        <v>2</v>
      </c>
      <c r="B258" s="3">
        <v>1</v>
      </c>
      <c r="C258" s="3">
        <v>1</v>
      </c>
      <c r="D258" s="3">
        <v>3</v>
      </c>
      <c r="E258" s="3"/>
      <c r="F258" s="3" t="s">
        <v>166</v>
      </c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5"/>
      <c r="W258" s="5"/>
      <c r="X258" s="3"/>
      <c r="Y258" s="5"/>
      <c r="Z258" s="5"/>
      <c r="AA258" s="5"/>
      <c r="AB258" s="33"/>
      <c r="AC258" s="33"/>
      <c r="AD258" s="33"/>
      <c r="AE258" s="33"/>
    </row>
    <row r="259" spans="1:31" ht="24" hidden="1" x14ac:dyDescent="0.25">
      <c r="A259" s="3">
        <v>2</v>
      </c>
      <c r="B259" s="3">
        <v>1</v>
      </c>
      <c r="C259" s="3">
        <v>1</v>
      </c>
      <c r="D259" s="3">
        <v>4</v>
      </c>
      <c r="E259" s="3"/>
      <c r="F259" s="3" t="s">
        <v>167</v>
      </c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5"/>
      <c r="W259" s="5"/>
      <c r="X259" s="3"/>
      <c r="Y259" s="5"/>
      <c r="Z259" s="5"/>
      <c r="AA259" s="5"/>
      <c r="AB259" s="33"/>
      <c r="AC259" s="33"/>
      <c r="AD259" s="33"/>
      <c r="AE259" s="33"/>
    </row>
    <row r="260" spans="1:31" hidden="1" x14ac:dyDescent="0.25">
      <c r="A260" s="3">
        <v>2</v>
      </c>
      <c r="B260" s="3">
        <v>1</v>
      </c>
      <c r="C260" s="3">
        <v>1</v>
      </c>
      <c r="D260" s="3">
        <v>5</v>
      </c>
      <c r="E260" s="3"/>
      <c r="F260" s="3" t="s">
        <v>168</v>
      </c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5"/>
      <c r="W260" s="5"/>
      <c r="X260" s="3"/>
      <c r="Y260" s="5"/>
      <c r="Z260" s="5"/>
      <c r="AA260" s="5"/>
      <c r="AB260" s="33"/>
      <c r="AC260" s="33"/>
      <c r="AD260" s="33"/>
      <c r="AE260" s="33"/>
    </row>
    <row r="261" spans="1:31" ht="24" hidden="1" x14ac:dyDescent="0.25">
      <c r="A261" s="3">
        <v>2</v>
      </c>
      <c r="B261" s="3">
        <v>1</v>
      </c>
      <c r="C261" s="3">
        <v>1</v>
      </c>
      <c r="D261" s="3">
        <v>6</v>
      </c>
      <c r="E261" s="3"/>
      <c r="F261" s="3" t="s">
        <v>169</v>
      </c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5"/>
      <c r="W261" s="5"/>
      <c r="X261" s="3"/>
      <c r="Y261" s="5"/>
      <c r="Z261" s="5"/>
      <c r="AA261" s="5"/>
      <c r="AB261" s="33"/>
      <c r="AC261" s="33"/>
      <c r="AD261" s="33"/>
      <c r="AE261" s="33"/>
    </row>
    <row r="262" spans="1:31" ht="24" hidden="1" x14ac:dyDescent="0.25">
      <c r="A262" s="3">
        <v>2</v>
      </c>
      <c r="B262" s="3">
        <v>1</v>
      </c>
      <c r="C262" s="3">
        <v>1</v>
      </c>
      <c r="D262" s="3">
        <v>7</v>
      </c>
      <c r="E262" s="3"/>
      <c r="F262" s="3" t="s">
        <v>170</v>
      </c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5"/>
      <c r="W262" s="5"/>
      <c r="X262" s="3"/>
      <c r="Y262" s="5"/>
      <c r="Z262" s="5"/>
      <c r="AA262" s="5"/>
      <c r="AB262" s="33"/>
      <c r="AC262" s="33"/>
      <c r="AD262" s="33"/>
      <c r="AE262" s="33"/>
    </row>
    <row r="263" spans="1:31" ht="24" hidden="1" x14ac:dyDescent="0.25">
      <c r="A263" s="3">
        <v>2</v>
      </c>
      <c r="B263" s="3">
        <v>1</v>
      </c>
      <c r="C263" s="3">
        <v>1</v>
      </c>
      <c r="D263" s="3">
        <v>8</v>
      </c>
      <c r="E263" s="3"/>
      <c r="F263" s="3" t="s">
        <v>171</v>
      </c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5"/>
      <c r="W263" s="5"/>
      <c r="X263" s="3"/>
      <c r="Y263" s="5"/>
      <c r="Z263" s="5"/>
      <c r="AA263" s="5"/>
      <c r="AB263" s="33"/>
      <c r="AC263" s="33"/>
      <c r="AD263" s="33"/>
      <c r="AE263" s="33"/>
    </row>
    <row r="264" spans="1:31" x14ac:dyDescent="0.25">
      <c r="A264" s="8">
        <v>2</v>
      </c>
      <c r="B264" s="8">
        <v>1</v>
      </c>
      <c r="C264" s="8">
        <v>1</v>
      </c>
      <c r="D264" s="8">
        <v>9</v>
      </c>
      <c r="E264" s="8"/>
      <c r="F264" s="8" t="s">
        <v>172</v>
      </c>
      <c r="G264" s="7">
        <f t="shared" ref="G264:L264" si="39">SUM(G265:G300)</f>
        <v>9750399</v>
      </c>
      <c r="H264" s="7">
        <f t="shared" si="39"/>
        <v>16084975</v>
      </c>
      <c r="I264" s="7">
        <f t="shared" si="39"/>
        <v>4729358</v>
      </c>
      <c r="J264" s="7">
        <f t="shared" si="39"/>
        <v>2439363</v>
      </c>
      <c r="K264" s="7">
        <f t="shared" si="39"/>
        <v>3065039</v>
      </c>
      <c r="L264" s="7">
        <f t="shared" si="39"/>
        <v>9273957</v>
      </c>
      <c r="M264" s="7"/>
      <c r="N264" s="7">
        <f>SUM(N265:N300)</f>
        <v>44178775</v>
      </c>
      <c r="O264" s="7">
        <f>SUM(O265:O300)</f>
        <v>13640278</v>
      </c>
      <c r="P264" s="7">
        <f>SUM(P265:P300)</f>
        <v>201</v>
      </c>
      <c r="Q264" s="7">
        <f>SUM(Q265:Q300)</f>
        <v>3808000</v>
      </c>
      <c r="R264" s="7">
        <f>SUM(R265:R300)</f>
        <v>97156</v>
      </c>
      <c r="S264" s="7">
        <f t="shared" ref="S264:T264" si="40">SUM(S265:S300)</f>
        <v>9464702</v>
      </c>
      <c r="T264" s="7">
        <f t="shared" si="40"/>
        <v>7463803</v>
      </c>
      <c r="U264" s="7">
        <f>SUM(U265:U300)</f>
        <v>34474140</v>
      </c>
      <c r="V264" s="7">
        <f>SUM(V265:V300)</f>
        <v>45764</v>
      </c>
      <c r="W264" s="7">
        <f>SUM(W265:W292)</f>
        <v>0</v>
      </c>
      <c r="X264" s="7">
        <f>SUM(X265:X296)</f>
        <v>6457326</v>
      </c>
      <c r="Y264" s="7"/>
      <c r="Z264" s="7"/>
      <c r="AA264" s="7">
        <f>SUM(AA265:AA292)</f>
        <v>2457326</v>
      </c>
      <c r="AB264" s="33"/>
      <c r="AC264" s="33"/>
      <c r="AD264" s="33"/>
      <c r="AE264" s="33"/>
    </row>
    <row r="265" spans="1:31" x14ac:dyDescent="0.25">
      <c r="A265" s="3"/>
      <c r="B265" s="3"/>
      <c r="C265" s="3"/>
      <c r="D265" s="3"/>
      <c r="E265" s="3">
        <v>1</v>
      </c>
      <c r="F265" s="3" t="s">
        <v>589</v>
      </c>
      <c r="G265" s="20">
        <v>19728</v>
      </c>
      <c r="H265" s="16">
        <v>19728</v>
      </c>
      <c r="I265" s="16"/>
      <c r="J265" s="16"/>
      <c r="K265" s="16"/>
      <c r="L265" s="16">
        <f>25000+350840+0</f>
        <v>375840</v>
      </c>
      <c r="M265" s="16">
        <f>3028+444649</f>
        <v>447677</v>
      </c>
      <c r="N265" s="16">
        <f>SUM(H265:M265)</f>
        <v>843245</v>
      </c>
      <c r="O265" s="16"/>
      <c r="P265" s="16"/>
      <c r="Q265" s="16"/>
      <c r="R265" s="16"/>
      <c r="S265" s="16">
        <f>375840+1730+1298</f>
        <v>378868</v>
      </c>
      <c r="T265" s="16">
        <f>7604+437045</f>
        <v>444649</v>
      </c>
      <c r="U265" s="16">
        <f>SUM(O265:T265)</f>
        <v>823517</v>
      </c>
      <c r="V265" s="5">
        <f t="shared" ref="V265:V297" si="41">+G265+U265-N265</f>
        <v>0</v>
      </c>
      <c r="W265" s="5"/>
      <c r="X265" s="20">
        <v>0</v>
      </c>
      <c r="Y265" s="5"/>
      <c r="Z265" s="5"/>
      <c r="AA265" s="5">
        <f>X265-Y265+Z265</f>
        <v>0</v>
      </c>
      <c r="AB265" s="33"/>
      <c r="AC265" s="33"/>
      <c r="AD265" s="33"/>
      <c r="AE265" s="33"/>
    </row>
    <row r="266" spans="1:31" hidden="1" x14ac:dyDescent="0.25">
      <c r="A266" s="3"/>
      <c r="B266" s="3"/>
      <c r="C266" s="3"/>
      <c r="D266" s="3"/>
      <c r="E266" s="3">
        <v>2</v>
      </c>
      <c r="F266" s="3" t="s">
        <v>591</v>
      </c>
      <c r="G266" s="16"/>
      <c r="H266" s="16"/>
      <c r="I266" s="16"/>
      <c r="J266" s="16"/>
      <c r="K266" s="16"/>
      <c r="L266" s="16"/>
      <c r="M266" s="16"/>
      <c r="N266" s="16">
        <f t="shared" ref="N266:N300" si="42">SUM(H266:M266)</f>
        <v>0</v>
      </c>
      <c r="O266" s="16"/>
      <c r="P266" s="16"/>
      <c r="Q266" s="16"/>
      <c r="R266" s="16"/>
      <c r="S266" s="16"/>
      <c r="T266" s="16"/>
      <c r="U266" s="16">
        <f t="shared" ref="U266:U300" si="43">SUM(O266:T266)</f>
        <v>0</v>
      </c>
      <c r="V266" s="5">
        <f t="shared" si="41"/>
        <v>0</v>
      </c>
      <c r="W266" s="5"/>
      <c r="X266" s="16">
        <v>0</v>
      </c>
      <c r="Y266" s="5"/>
      <c r="Z266" s="5"/>
      <c r="AA266" s="5">
        <f t="shared" ref="AA266:AA291" si="44">X266-Y266+Z266</f>
        <v>0</v>
      </c>
      <c r="AB266" s="33"/>
      <c r="AC266" s="33"/>
      <c r="AD266" s="33"/>
      <c r="AE266" s="33"/>
    </row>
    <row r="267" spans="1:31" hidden="1" x14ac:dyDescent="0.25">
      <c r="A267" s="3"/>
      <c r="B267" s="3"/>
      <c r="C267" s="3"/>
      <c r="D267" s="3"/>
      <c r="E267" s="3">
        <v>3</v>
      </c>
      <c r="F267" s="3" t="s">
        <v>560</v>
      </c>
      <c r="G267" s="16"/>
      <c r="H267" s="16"/>
      <c r="I267" s="16"/>
      <c r="J267" s="16"/>
      <c r="K267" s="16"/>
      <c r="L267" s="16"/>
      <c r="M267" s="16"/>
      <c r="N267" s="16">
        <f t="shared" si="42"/>
        <v>0</v>
      </c>
      <c r="O267" s="16"/>
      <c r="P267" s="16"/>
      <c r="Q267" s="16"/>
      <c r="R267" s="16"/>
      <c r="S267" s="16"/>
      <c r="T267" s="16"/>
      <c r="U267" s="16">
        <f t="shared" si="43"/>
        <v>0</v>
      </c>
      <c r="V267" s="5">
        <f t="shared" si="41"/>
        <v>0</v>
      </c>
      <c r="W267" s="5"/>
      <c r="X267" s="16">
        <v>0</v>
      </c>
      <c r="Y267" s="5"/>
      <c r="Z267" s="5"/>
      <c r="AA267" s="5">
        <f t="shared" si="44"/>
        <v>0</v>
      </c>
      <c r="AB267" s="33"/>
      <c r="AC267" s="33"/>
      <c r="AD267" s="33"/>
      <c r="AE267" s="33"/>
    </row>
    <row r="268" spans="1:31" x14ac:dyDescent="0.25">
      <c r="A268" s="3"/>
      <c r="B268" s="3"/>
      <c r="C268" s="3"/>
      <c r="D268" s="3"/>
      <c r="E268" s="3">
        <v>4</v>
      </c>
      <c r="F268" s="3" t="s">
        <v>561</v>
      </c>
      <c r="G268" s="16">
        <v>58787</v>
      </c>
      <c r="H268" s="16"/>
      <c r="I268" s="16"/>
      <c r="J268" s="16"/>
      <c r="K268" s="16"/>
      <c r="L268" s="16"/>
      <c r="M268" s="16">
        <v>58787</v>
      </c>
      <c r="N268" s="16">
        <f t="shared" si="42"/>
        <v>58787</v>
      </c>
      <c r="O268" s="16"/>
      <c r="P268" s="16"/>
      <c r="Q268" s="16"/>
      <c r="R268" s="16"/>
      <c r="S268" s="16"/>
      <c r="T268" s="16"/>
      <c r="U268" s="16">
        <f t="shared" si="43"/>
        <v>0</v>
      </c>
      <c r="V268" s="5">
        <f t="shared" si="41"/>
        <v>0</v>
      </c>
      <c r="W268" s="5"/>
      <c r="X268" s="16">
        <v>58787</v>
      </c>
      <c r="Y268" s="5"/>
      <c r="Z268" s="5"/>
      <c r="AA268" s="5">
        <f t="shared" si="44"/>
        <v>58787</v>
      </c>
      <c r="AB268" s="33"/>
      <c r="AC268" s="33"/>
      <c r="AD268" s="33"/>
      <c r="AE268" s="33"/>
    </row>
    <row r="269" spans="1:31" x14ac:dyDescent="0.25">
      <c r="A269" s="3"/>
      <c r="B269" s="3"/>
      <c r="C269" s="3"/>
      <c r="D269" s="3"/>
      <c r="E269" s="3"/>
      <c r="F269" s="3" t="s">
        <v>454</v>
      </c>
      <c r="G269" s="16"/>
      <c r="H269" s="16"/>
      <c r="I269" s="16"/>
      <c r="J269" s="16"/>
      <c r="K269" s="16"/>
      <c r="L269" s="16"/>
      <c r="M269" s="16"/>
      <c r="N269" s="16">
        <f t="shared" si="42"/>
        <v>0</v>
      </c>
      <c r="O269" s="16"/>
      <c r="P269" s="16"/>
      <c r="Q269" s="16"/>
      <c r="R269" s="16"/>
      <c r="S269" s="16"/>
      <c r="T269" s="16"/>
      <c r="U269" s="16">
        <f t="shared" si="43"/>
        <v>0</v>
      </c>
      <c r="V269" s="5">
        <f t="shared" si="41"/>
        <v>0</v>
      </c>
      <c r="W269" s="5"/>
      <c r="X269" s="16"/>
      <c r="Y269" s="5"/>
      <c r="Z269" s="5"/>
      <c r="AA269" s="5"/>
      <c r="AB269" s="33"/>
      <c r="AC269" s="33"/>
      <c r="AD269" s="33"/>
      <c r="AE269" s="33"/>
    </row>
    <row r="270" spans="1:31" x14ac:dyDescent="0.25">
      <c r="A270" s="3"/>
      <c r="B270" s="3"/>
      <c r="C270" s="3"/>
      <c r="D270" s="3"/>
      <c r="E270" s="3"/>
      <c r="F270" s="3" t="s">
        <v>715</v>
      </c>
      <c r="G270" s="16"/>
      <c r="H270" s="16"/>
      <c r="I270" s="16"/>
      <c r="J270" s="16"/>
      <c r="K270" s="16"/>
      <c r="L270" s="16"/>
      <c r="M270" s="16">
        <v>1701</v>
      </c>
      <c r="N270" s="16">
        <f t="shared" si="42"/>
        <v>1701</v>
      </c>
      <c r="O270" s="16"/>
      <c r="P270" s="16"/>
      <c r="Q270" s="16"/>
      <c r="R270" s="16"/>
      <c r="S270" s="16">
        <v>1701</v>
      </c>
      <c r="T270" s="16"/>
      <c r="U270" s="16">
        <f t="shared" si="43"/>
        <v>1701</v>
      </c>
      <c r="V270" s="5">
        <f t="shared" si="41"/>
        <v>0</v>
      </c>
      <c r="W270" s="5"/>
      <c r="X270" s="16"/>
      <c r="Y270" s="5"/>
      <c r="Z270" s="5"/>
      <c r="AA270" s="5"/>
      <c r="AB270" s="33"/>
      <c r="AC270" s="33"/>
      <c r="AD270" s="33"/>
      <c r="AE270" s="33"/>
    </row>
    <row r="271" spans="1:31" x14ac:dyDescent="0.25">
      <c r="A271" s="3"/>
      <c r="B271" s="3"/>
      <c r="C271" s="3"/>
      <c r="D271" s="3"/>
      <c r="E271" s="3"/>
      <c r="F271" s="3" t="s">
        <v>708</v>
      </c>
      <c r="G271" s="16"/>
      <c r="H271" s="16"/>
      <c r="I271" s="16"/>
      <c r="J271" s="16"/>
      <c r="K271" s="16"/>
      <c r="L271" s="16"/>
      <c r="M271" s="16"/>
      <c r="N271" s="16">
        <f t="shared" si="42"/>
        <v>0</v>
      </c>
      <c r="O271" s="16"/>
      <c r="P271" s="16"/>
      <c r="Q271" s="16"/>
      <c r="R271" s="16"/>
      <c r="S271" s="16"/>
      <c r="T271" s="16"/>
      <c r="U271" s="16">
        <f t="shared" si="43"/>
        <v>0</v>
      </c>
      <c r="V271" s="5">
        <f t="shared" si="41"/>
        <v>0</v>
      </c>
      <c r="W271" s="5"/>
      <c r="X271" s="16"/>
      <c r="Y271" s="5"/>
      <c r="Z271" s="5"/>
      <c r="AA271" s="5"/>
      <c r="AB271" s="33"/>
      <c r="AC271" s="33"/>
      <c r="AD271" s="33"/>
      <c r="AE271" s="33"/>
    </row>
    <row r="272" spans="1:31" x14ac:dyDescent="0.25">
      <c r="A272" s="3"/>
      <c r="B272" s="3"/>
      <c r="C272" s="3"/>
      <c r="D272" s="3"/>
      <c r="E272" s="3"/>
      <c r="F272" s="3" t="s">
        <v>710</v>
      </c>
      <c r="G272" s="16">
        <v>1</v>
      </c>
      <c r="H272" s="16"/>
      <c r="I272" s="16"/>
      <c r="J272" s="16"/>
      <c r="K272" s="16"/>
      <c r="L272" s="16"/>
      <c r="M272" s="16">
        <v>213</v>
      </c>
      <c r="N272" s="16">
        <f t="shared" si="42"/>
        <v>213</v>
      </c>
      <c r="O272" s="16"/>
      <c r="P272" s="16">
        <v>201</v>
      </c>
      <c r="Q272" s="16"/>
      <c r="R272" s="16">
        <v>11</v>
      </c>
      <c r="S272" s="16"/>
      <c r="T272" s="16"/>
      <c r="U272" s="16">
        <f t="shared" si="43"/>
        <v>212</v>
      </c>
      <c r="V272" s="5">
        <f t="shared" si="41"/>
        <v>0</v>
      </c>
      <c r="W272" s="5"/>
      <c r="X272" s="16"/>
      <c r="Y272" s="5"/>
      <c r="Z272" s="5"/>
      <c r="AA272" s="5"/>
      <c r="AB272" s="33"/>
      <c r="AC272" s="33"/>
      <c r="AD272" s="33"/>
      <c r="AE272" s="33"/>
    </row>
    <row r="273" spans="1:31" x14ac:dyDescent="0.25">
      <c r="A273" s="3"/>
      <c r="B273" s="3"/>
      <c r="C273" s="3"/>
      <c r="D273" s="3"/>
      <c r="E273" s="3"/>
      <c r="F273" s="3" t="s">
        <v>709</v>
      </c>
      <c r="G273" s="16"/>
      <c r="H273" s="16"/>
      <c r="I273" s="16"/>
      <c r="J273" s="16"/>
      <c r="K273" s="16"/>
      <c r="L273" s="16"/>
      <c r="M273" s="16">
        <v>15000</v>
      </c>
      <c r="N273" s="16">
        <f t="shared" si="42"/>
        <v>15000</v>
      </c>
      <c r="O273" s="16"/>
      <c r="P273" s="16"/>
      <c r="Q273" s="16"/>
      <c r="R273" s="16">
        <v>15000</v>
      </c>
      <c r="S273" s="16"/>
      <c r="T273" s="16"/>
      <c r="U273" s="16">
        <f t="shared" si="43"/>
        <v>15000</v>
      </c>
      <c r="V273" s="5">
        <f t="shared" si="41"/>
        <v>0</v>
      </c>
      <c r="W273" s="5"/>
      <c r="X273" s="16"/>
      <c r="Y273" s="5"/>
      <c r="Z273" s="5"/>
      <c r="AA273" s="5"/>
      <c r="AB273" s="33"/>
      <c r="AC273" s="33"/>
      <c r="AD273" s="33"/>
      <c r="AE273" s="33"/>
    </row>
    <row r="274" spans="1:31" x14ac:dyDescent="0.25">
      <c r="A274" s="3"/>
      <c r="B274" s="3"/>
      <c r="C274" s="3"/>
      <c r="D274" s="3"/>
      <c r="E274" s="3"/>
      <c r="F274" s="3" t="s">
        <v>845</v>
      </c>
      <c r="G274" s="16"/>
      <c r="H274" s="16"/>
      <c r="I274" s="16"/>
      <c r="J274" s="16"/>
      <c r="K274" s="16"/>
      <c r="L274" s="16"/>
      <c r="M274" s="16">
        <v>11375</v>
      </c>
      <c r="N274" s="16">
        <f t="shared" si="42"/>
        <v>11375</v>
      </c>
      <c r="O274" s="16"/>
      <c r="P274" s="16"/>
      <c r="Q274" s="16"/>
      <c r="R274" s="16"/>
      <c r="S274" s="16">
        <v>11375</v>
      </c>
      <c r="T274" s="16"/>
      <c r="U274" s="16">
        <f t="shared" si="43"/>
        <v>11375</v>
      </c>
      <c r="V274" s="5">
        <f t="shared" si="41"/>
        <v>0</v>
      </c>
      <c r="W274" s="5"/>
      <c r="X274" s="16"/>
      <c r="Y274" s="5"/>
      <c r="Z274" s="5"/>
      <c r="AA274" s="5"/>
      <c r="AB274" s="33"/>
      <c r="AC274" s="33"/>
      <c r="AD274" s="33"/>
      <c r="AE274" s="33"/>
    </row>
    <row r="275" spans="1:31" x14ac:dyDescent="0.25">
      <c r="A275" s="3"/>
      <c r="B275" s="3"/>
      <c r="C275" s="3"/>
      <c r="D275" s="3"/>
      <c r="E275" s="3"/>
      <c r="F275" s="3" t="s">
        <v>814</v>
      </c>
      <c r="G275" s="16">
        <v>1271</v>
      </c>
      <c r="H275" s="16"/>
      <c r="I275" s="16"/>
      <c r="J275" s="16"/>
      <c r="K275" s="16"/>
      <c r="L275" s="16"/>
      <c r="M275" s="16">
        <v>1271</v>
      </c>
      <c r="N275" s="16">
        <f t="shared" si="42"/>
        <v>1271</v>
      </c>
      <c r="O275" s="16"/>
      <c r="P275" s="16"/>
      <c r="Q275" s="16"/>
      <c r="R275" s="16"/>
      <c r="S275" s="16"/>
      <c r="T275" s="16"/>
      <c r="U275" s="16">
        <f t="shared" si="43"/>
        <v>0</v>
      </c>
      <c r="V275" s="5">
        <f t="shared" si="41"/>
        <v>0</v>
      </c>
      <c r="W275" s="5"/>
      <c r="X275" s="16"/>
      <c r="Y275" s="5"/>
      <c r="Z275" s="5"/>
      <c r="AA275" s="5"/>
      <c r="AB275" s="33"/>
      <c r="AC275" s="33"/>
      <c r="AD275" s="33"/>
      <c r="AE275" s="33"/>
    </row>
    <row r="276" spans="1:31" x14ac:dyDescent="0.25">
      <c r="A276" s="3"/>
      <c r="B276" s="3"/>
      <c r="C276" s="3"/>
      <c r="D276" s="3"/>
      <c r="E276" s="3"/>
      <c r="F276" s="3" t="s">
        <v>711</v>
      </c>
      <c r="G276" s="16"/>
      <c r="H276" s="16"/>
      <c r="I276" s="16"/>
      <c r="J276" s="16"/>
      <c r="K276" s="16">
        <v>878</v>
      </c>
      <c r="L276" s="16">
        <f>17476+28913</f>
        <v>46389</v>
      </c>
      <c r="M276" s="16">
        <f>72+50</f>
        <v>122</v>
      </c>
      <c r="N276" s="16">
        <f t="shared" si="42"/>
        <v>47389</v>
      </c>
      <c r="O276" s="16"/>
      <c r="P276" s="16"/>
      <c r="Q276" s="16"/>
      <c r="R276" s="16">
        <v>47267</v>
      </c>
      <c r="S276" s="16"/>
      <c r="T276" s="16">
        <f>72+50</f>
        <v>122</v>
      </c>
      <c r="U276" s="16">
        <f t="shared" si="43"/>
        <v>47389</v>
      </c>
      <c r="V276" s="5">
        <f t="shared" si="41"/>
        <v>0</v>
      </c>
      <c r="W276" s="5"/>
      <c r="X276" s="16"/>
      <c r="Y276" s="5"/>
      <c r="Z276" s="5"/>
      <c r="AA276" s="5"/>
      <c r="AB276" s="33"/>
      <c r="AC276" s="33"/>
      <c r="AD276" s="33"/>
      <c r="AE276" s="33"/>
    </row>
    <row r="277" spans="1:31" x14ac:dyDescent="0.25">
      <c r="A277" s="3"/>
      <c r="B277" s="3"/>
      <c r="C277" s="3"/>
      <c r="D277" s="3"/>
      <c r="E277" s="3"/>
      <c r="F277" s="3" t="s">
        <v>713</v>
      </c>
      <c r="G277" s="16">
        <v>0</v>
      </c>
      <c r="H277" s="16">
        <v>2</v>
      </c>
      <c r="I277" s="16"/>
      <c r="J277" s="16"/>
      <c r="K277" s="16"/>
      <c r="L277" s="16"/>
      <c r="M277" s="16">
        <v>19</v>
      </c>
      <c r="N277" s="16">
        <f t="shared" si="42"/>
        <v>21</v>
      </c>
      <c r="O277" s="16">
        <v>21</v>
      </c>
      <c r="P277" s="16"/>
      <c r="Q277" s="16"/>
      <c r="R277" s="16"/>
      <c r="S277" s="16"/>
      <c r="T277" s="16"/>
      <c r="U277" s="16">
        <f t="shared" si="43"/>
        <v>21</v>
      </c>
      <c r="V277" s="5">
        <f t="shared" si="41"/>
        <v>0</v>
      </c>
      <c r="W277" s="5"/>
      <c r="X277" s="16"/>
      <c r="Y277" s="5"/>
      <c r="Z277" s="5"/>
      <c r="AA277" s="5"/>
      <c r="AB277" s="33"/>
      <c r="AC277" s="33"/>
      <c r="AD277" s="33"/>
      <c r="AE277" s="33"/>
    </row>
    <row r="278" spans="1:31" ht="15" customHeight="1" x14ac:dyDescent="0.25">
      <c r="A278" s="3"/>
      <c r="B278" s="3"/>
      <c r="C278" s="3"/>
      <c r="D278" s="3"/>
      <c r="E278" s="3"/>
      <c r="F278" s="3" t="s">
        <v>838</v>
      </c>
      <c r="G278" s="16"/>
      <c r="H278" s="16"/>
      <c r="I278" s="16"/>
      <c r="J278" s="16"/>
      <c r="K278" s="16"/>
      <c r="L278" s="16">
        <v>24878</v>
      </c>
      <c r="M278" s="16"/>
      <c r="N278" s="16">
        <f t="shared" si="42"/>
        <v>24878</v>
      </c>
      <c r="O278" s="16"/>
      <c r="P278" s="16"/>
      <c r="Q278" s="16"/>
      <c r="R278" s="16">
        <v>24878</v>
      </c>
      <c r="S278" s="16"/>
      <c r="T278" s="16"/>
      <c r="U278" s="16">
        <f t="shared" si="43"/>
        <v>24878</v>
      </c>
      <c r="V278" s="5">
        <f t="shared" si="41"/>
        <v>0</v>
      </c>
      <c r="W278" s="5"/>
      <c r="X278" s="16"/>
      <c r="Y278" s="5"/>
      <c r="Z278" s="5"/>
      <c r="AA278" s="5"/>
      <c r="AB278" s="33"/>
      <c r="AC278" s="33"/>
      <c r="AD278" s="33"/>
      <c r="AE278" s="33"/>
    </row>
    <row r="279" spans="1:31" hidden="1" x14ac:dyDescent="0.25">
      <c r="A279" s="3"/>
      <c r="B279" s="3"/>
      <c r="C279" s="3"/>
      <c r="D279" s="3"/>
      <c r="E279" s="3"/>
      <c r="F279" s="3" t="s">
        <v>445</v>
      </c>
      <c r="G279" s="16"/>
      <c r="H279" s="16"/>
      <c r="I279" s="16"/>
      <c r="J279" s="16"/>
      <c r="K279" s="16"/>
      <c r="L279" s="16"/>
      <c r="M279" s="16"/>
      <c r="N279" s="16">
        <f t="shared" si="42"/>
        <v>0</v>
      </c>
      <c r="O279" s="16"/>
      <c r="P279" s="16"/>
      <c r="Q279" s="16"/>
      <c r="R279" s="16"/>
      <c r="S279" s="16"/>
      <c r="T279" s="16"/>
      <c r="U279" s="16">
        <f t="shared" si="43"/>
        <v>0</v>
      </c>
      <c r="V279" s="5">
        <f t="shared" si="41"/>
        <v>0</v>
      </c>
      <c r="W279" s="5"/>
      <c r="X279" s="16">
        <v>0</v>
      </c>
      <c r="Y279" s="5"/>
      <c r="Z279" s="5"/>
      <c r="AA279" s="5">
        <f t="shared" si="44"/>
        <v>0</v>
      </c>
      <c r="AB279" s="33"/>
      <c r="AC279" s="33"/>
      <c r="AD279" s="33"/>
      <c r="AE279" s="33"/>
    </row>
    <row r="280" spans="1:31" hidden="1" x14ac:dyDescent="0.25">
      <c r="A280" s="3"/>
      <c r="B280" s="3"/>
      <c r="C280" s="3"/>
      <c r="D280" s="3"/>
      <c r="E280" s="3"/>
      <c r="F280" s="3" t="s">
        <v>590</v>
      </c>
      <c r="G280" s="16"/>
      <c r="H280" s="16"/>
      <c r="I280" s="16"/>
      <c r="J280" s="16"/>
      <c r="K280" s="16"/>
      <c r="L280" s="16"/>
      <c r="M280" s="16"/>
      <c r="N280" s="16">
        <f t="shared" si="42"/>
        <v>0</v>
      </c>
      <c r="O280" s="16"/>
      <c r="P280" s="16"/>
      <c r="Q280" s="16"/>
      <c r="R280" s="16"/>
      <c r="S280" s="16"/>
      <c r="T280" s="16"/>
      <c r="U280" s="16">
        <f t="shared" si="43"/>
        <v>0</v>
      </c>
      <c r="V280" s="5">
        <f t="shared" si="41"/>
        <v>0</v>
      </c>
      <c r="W280" s="5"/>
      <c r="X280" s="16">
        <v>316104</v>
      </c>
      <c r="Y280" s="5"/>
      <c r="Z280" s="5"/>
      <c r="AA280" s="5">
        <f t="shared" si="44"/>
        <v>316104</v>
      </c>
      <c r="AB280" s="33"/>
      <c r="AC280" s="33"/>
      <c r="AD280" s="33"/>
      <c r="AE280" s="33"/>
    </row>
    <row r="281" spans="1:31" hidden="1" x14ac:dyDescent="0.25">
      <c r="A281" s="3"/>
      <c r="B281" s="3"/>
      <c r="C281" s="3"/>
      <c r="D281" s="3"/>
      <c r="E281" s="3"/>
      <c r="F281" s="3" t="s">
        <v>446</v>
      </c>
      <c r="G281" s="16"/>
      <c r="H281" s="16"/>
      <c r="I281" s="16"/>
      <c r="J281" s="16"/>
      <c r="K281" s="16"/>
      <c r="L281" s="16"/>
      <c r="M281" s="16"/>
      <c r="N281" s="16">
        <f t="shared" si="42"/>
        <v>0</v>
      </c>
      <c r="O281" s="16"/>
      <c r="P281" s="16"/>
      <c r="Q281" s="16"/>
      <c r="R281" s="16"/>
      <c r="S281" s="16"/>
      <c r="T281" s="16"/>
      <c r="U281" s="16">
        <f t="shared" si="43"/>
        <v>0</v>
      </c>
      <c r="V281" s="5">
        <f t="shared" si="41"/>
        <v>0</v>
      </c>
      <c r="W281" s="5"/>
      <c r="X281" s="16">
        <v>272774</v>
      </c>
      <c r="Y281" s="5"/>
      <c r="Z281" s="5"/>
      <c r="AA281" s="5">
        <f t="shared" si="44"/>
        <v>272774</v>
      </c>
      <c r="AB281" s="33"/>
      <c r="AC281" s="33"/>
      <c r="AD281" s="33"/>
      <c r="AE281" s="33"/>
    </row>
    <row r="282" spans="1:31" x14ac:dyDescent="0.25">
      <c r="A282" s="3"/>
      <c r="B282" s="3"/>
      <c r="C282" s="3"/>
      <c r="D282" s="3"/>
      <c r="E282" s="3"/>
      <c r="F282" s="3" t="s">
        <v>813</v>
      </c>
      <c r="G282" s="16">
        <v>550193</v>
      </c>
      <c r="H282" s="16">
        <v>27638</v>
      </c>
      <c r="I282" s="16">
        <v>19256</v>
      </c>
      <c r="J282" s="16">
        <v>194592</v>
      </c>
      <c r="K282" s="16">
        <v>23745</v>
      </c>
      <c r="L282" s="16">
        <f>8412+197137+8412</f>
        <v>213961</v>
      </c>
      <c r="M282" s="16">
        <f>8412+8412+8412+1</f>
        <v>25237</v>
      </c>
      <c r="N282" s="16">
        <f t="shared" si="42"/>
        <v>504429</v>
      </c>
      <c r="O282" s="16"/>
      <c r="P282" s="16"/>
      <c r="Q282" s="16"/>
      <c r="R282" s="16"/>
      <c r="S282" s="16"/>
      <c r="T282" s="16"/>
      <c r="U282" s="16">
        <f t="shared" si="43"/>
        <v>0</v>
      </c>
      <c r="V282" s="5">
        <f t="shared" si="41"/>
        <v>45764</v>
      </c>
      <c r="W282" s="5"/>
      <c r="X282" s="16"/>
      <c r="Y282" s="5"/>
      <c r="Z282" s="5"/>
      <c r="AA282" s="5"/>
      <c r="AB282" s="33"/>
      <c r="AC282" s="33"/>
      <c r="AD282" s="33"/>
      <c r="AE282" s="33"/>
    </row>
    <row r="283" spans="1:31" x14ac:dyDescent="0.25">
      <c r="A283" s="3"/>
      <c r="B283" s="3"/>
      <c r="C283" s="3"/>
      <c r="D283" s="3"/>
      <c r="E283" s="3"/>
      <c r="F283" s="3" t="s">
        <v>447</v>
      </c>
      <c r="G283" s="16">
        <v>1358007</v>
      </c>
      <c r="H283" s="16">
        <v>612658</v>
      </c>
      <c r="I283" s="16">
        <v>89603</v>
      </c>
      <c r="J283" s="16">
        <v>147386</v>
      </c>
      <c r="K283" s="16">
        <v>53296</v>
      </c>
      <c r="L283" s="16">
        <f>150559+22881+7000</f>
        <v>180440</v>
      </c>
      <c r="M283" s="16">
        <f>7000+267624</f>
        <v>274624</v>
      </c>
      <c r="N283" s="16">
        <f t="shared" si="42"/>
        <v>1358007</v>
      </c>
      <c r="O283" s="16"/>
      <c r="P283" s="16"/>
      <c r="Q283" s="16"/>
      <c r="R283" s="16"/>
      <c r="S283" s="16"/>
      <c r="T283" s="16"/>
      <c r="U283" s="16">
        <f t="shared" si="43"/>
        <v>0</v>
      </c>
      <c r="V283" s="5">
        <f t="shared" si="41"/>
        <v>0</v>
      </c>
      <c r="W283" s="5"/>
      <c r="X283" s="16">
        <v>1508615</v>
      </c>
      <c r="Y283" s="5"/>
      <c r="Z283" s="5"/>
      <c r="AA283" s="5">
        <f t="shared" si="44"/>
        <v>1508615</v>
      </c>
      <c r="AB283" s="33"/>
      <c r="AC283" s="33"/>
      <c r="AD283" s="33"/>
      <c r="AE283" s="33"/>
    </row>
    <row r="284" spans="1:31" hidden="1" x14ac:dyDescent="0.25">
      <c r="A284" s="3"/>
      <c r="B284" s="3"/>
      <c r="C284" s="3"/>
      <c r="D284" s="3"/>
      <c r="E284" s="3"/>
      <c r="F284" s="3" t="s">
        <v>448</v>
      </c>
      <c r="G284" s="16">
        <v>0</v>
      </c>
      <c r="H284" s="16"/>
      <c r="I284" s="16"/>
      <c r="J284" s="16"/>
      <c r="K284" s="16"/>
      <c r="L284" s="16"/>
      <c r="M284" s="16"/>
      <c r="N284" s="16">
        <f t="shared" si="42"/>
        <v>0</v>
      </c>
      <c r="O284" s="16"/>
      <c r="P284" s="16"/>
      <c r="Q284" s="16"/>
      <c r="R284" s="16"/>
      <c r="S284" s="16"/>
      <c r="T284" s="16"/>
      <c r="U284" s="16">
        <f t="shared" si="43"/>
        <v>0</v>
      </c>
      <c r="V284" s="5">
        <f t="shared" si="41"/>
        <v>0</v>
      </c>
      <c r="W284" s="5"/>
      <c r="X284" s="16">
        <v>0</v>
      </c>
      <c r="Y284" s="5"/>
      <c r="Z284" s="5"/>
      <c r="AA284" s="5">
        <f t="shared" si="44"/>
        <v>0</v>
      </c>
      <c r="AB284" s="33"/>
      <c r="AC284" s="33"/>
      <c r="AD284" s="33"/>
      <c r="AE284" s="33"/>
    </row>
    <row r="285" spans="1:31" hidden="1" x14ac:dyDescent="0.25">
      <c r="A285" s="3"/>
      <c r="B285" s="3"/>
      <c r="C285" s="3"/>
      <c r="D285" s="3"/>
      <c r="E285" s="3"/>
      <c r="F285" s="3" t="s">
        <v>449</v>
      </c>
      <c r="G285" s="16">
        <v>0</v>
      </c>
      <c r="H285" s="16"/>
      <c r="I285" s="16"/>
      <c r="J285" s="16"/>
      <c r="K285" s="16"/>
      <c r="L285" s="16"/>
      <c r="M285" s="16"/>
      <c r="N285" s="16">
        <f t="shared" si="42"/>
        <v>0</v>
      </c>
      <c r="O285" s="16"/>
      <c r="P285" s="16"/>
      <c r="Q285" s="16"/>
      <c r="R285" s="16"/>
      <c r="S285" s="16"/>
      <c r="T285" s="16"/>
      <c r="U285" s="16">
        <f t="shared" si="43"/>
        <v>0</v>
      </c>
      <c r="V285" s="5">
        <f t="shared" si="41"/>
        <v>0</v>
      </c>
      <c r="W285" s="5"/>
      <c r="X285" s="16">
        <v>0</v>
      </c>
      <c r="Y285" s="5"/>
      <c r="Z285" s="5"/>
      <c r="AA285" s="5">
        <f t="shared" si="44"/>
        <v>0</v>
      </c>
      <c r="AB285" s="33"/>
      <c r="AC285" s="33"/>
      <c r="AD285" s="33"/>
      <c r="AE285" s="33"/>
    </row>
    <row r="286" spans="1:31" hidden="1" x14ac:dyDescent="0.25">
      <c r="A286" s="3"/>
      <c r="B286" s="3"/>
      <c r="C286" s="3"/>
      <c r="D286" s="3"/>
      <c r="E286" s="3"/>
      <c r="F286" s="3" t="s">
        <v>450</v>
      </c>
      <c r="G286" s="16">
        <v>0</v>
      </c>
      <c r="H286" s="16"/>
      <c r="I286" s="16"/>
      <c r="J286" s="16"/>
      <c r="K286" s="16"/>
      <c r="L286" s="16"/>
      <c r="M286" s="16"/>
      <c r="N286" s="16">
        <f t="shared" si="42"/>
        <v>0</v>
      </c>
      <c r="O286" s="16"/>
      <c r="P286" s="16"/>
      <c r="Q286" s="16"/>
      <c r="R286" s="16"/>
      <c r="S286" s="16"/>
      <c r="T286" s="16"/>
      <c r="U286" s="16">
        <f t="shared" si="43"/>
        <v>0</v>
      </c>
      <c r="V286" s="5">
        <f t="shared" si="41"/>
        <v>0</v>
      </c>
      <c r="W286" s="5"/>
      <c r="X286" s="16">
        <v>0</v>
      </c>
      <c r="Y286" s="5"/>
      <c r="Z286" s="5"/>
      <c r="AA286" s="5">
        <f t="shared" si="44"/>
        <v>0</v>
      </c>
      <c r="AB286" s="33"/>
      <c r="AC286" s="33"/>
      <c r="AD286" s="33"/>
      <c r="AE286" s="33"/>
    </row>
    <row r="287" spans="1:31" hidden="1" x14ac:dyDescent="0.25">
      <c r="A287" s="3"/>
      <c r="B287" s="3"/>
      <c r="C287" s="3"/>
      <c r="D287" s="3"/>
      <c r="E287" s="3"/>
      <c r="F287" s="3" t="s">
        <v>680</v>
      </c>
      <c r="G287" s="16"/>
      <c r="H287" s="16"/>
      <c r="I287" s="16"/>
      <c r="J287" s="16"/>
      <c r="K287" s="16"/>
      <c r="L287" s="16"/>
      <c r="M287" s="16"/>
      <c r="N287" s="16">
        <f t="shared" si="42"/>
        <v>0</v>
      </c>
      <c r="O287" s="16"/>
      <c r="P287" s="16"/>
      <c r="Q287" s="16"/>
      <c r="R287" s="16"/>
      <c r="S287" s="16"/>
      <c r="T287" s="16"/>
      <c r="U287" s="16">
        <f t="shared" si="43"/>
        <v>0</v>
      </c>
      <c r="V287" s="5">
        <f t="shared" si="41"/>
        <v>0</v>
      </c>
      <c r="W287" s="5"/>
      <c r="X287" s="16"/>
      <c r="Y287" s="5"/>
      <c r="Z287" s="5"/>
      <c r="AA287" s="5">
        <f t="shared" si="44"/>
        <v>0</v>
      </c>
      <c r="AB287" s="33"/>
      <c r="AC287" s="33"/>
      <c r="AD287" s="33"/>
      <c r="AE287" s="33"/>
    </row>
    <row r="288" spans="1:31" hidden="1" x14ac:dyDescent="0.25">
      <c r="A288" s="3"/>
      <c r="B288" s="3"/>
      <c r="C288" s="3"/>
      <c r="D288" s="3"/>
      <c r="E288" s="3"/>
      <c r="F288" s="3" t="s">
        <v>452</v>
      </c>
      <c r="G288" s="16">
        <v>0</v>
      </c>
      <c r="H288" s="16"/>
      <c r="I288" s="16"/>
      <c r="J288" s="16"/>
      <c r="K288" s="16"/>
      <c r="L288" s="16"/>
      <c r="M288" s="16"/>
      <c r="N288" s="16">
        <f t="shared" si="42"/>
        <v>0</v>
      </c>
      <c r="O288" s="16"/>
      <c r="P288" s="16"/>
      <c r="Q288" s="16"/>
      <c r="R288" s="16"/>
      <c r="S288" s="16"/>
      <c r="T288" s="16"/>
      <c r="U288" s="16">
        <f t="shared" si="43"/>
        <v>0</v>
      </c>
      <c r="V288" s="5">
        <f t="shared" si="41"/>
        <v>0</v>
      </c>
      <c r="W288" s="5"/>
      <c r="X288" s="16">
        <v>0</v>
      </c>
      <c r="Y288" s="5"/>
      <c r="Z288" s="5"/>
      <c r="AA288" s="5">
        <f t="shared" si="44"/>
        <v>0</v>
      </c>
      <c r="AB288" s="33"/>
      <c r="AC288" s="33"/>
      <c r="AD288" s="33"/>
      <c r="AE288" s="33"/>
    </row>
    <row r="289" spans="1:31" hidden="1" x14ac:dyDescent="0.25">
      <c r="A289" s="3"/>
      <c r="B289" s="3"/>
      <c r="C289" s="3"/>
      <c r="D289" s="3"/>
      <c r="E289" s="3"/>
      <c r="F289" s="3" t="s">
        <v>451</v>
      </c>
      <c r="G289" s="16">
        <v>0</v>
      </c>
      <c r="H289" s="16"/>
      <c r="I289" s="16"/>
      <c r="J289" s="16"/>
      <c r="K289" s="16"/>
      <c r="L289" s="16"/>
      <c r="M289" s="16"/>
      <c r="N289" s="16">
        <f t="shared" si="42"/>
        <v>0</v>
      </c>
      <c r="O289" s="16"/>
      <c r="P289" s="16"/>
      <c r="Q289" s="16"/>
      <c r="R289" s="16"/>
      <c r="S289" s="16"/>
      <c r="T289" s="16"/>
      <c r="U289" s="16">
        <f t="shared" si="43"/>
        <v>0</v>
      </c>
      <c r="V289" s="5">
        <f t="shared" si="41"/>
        <v>0</v>
      </c>
      <c r="W289" s="5"/>
      <c r="X289" s="16">
        <v>0</v>
      </c>
      <c r="Y289" s="5"/>
      <c r="Z289" s="5"/>
      <c r="AA289" s="5">
        <f t="shared" si="44"/>
        <v>0</v>
      </c>
      <c r="AB289" s="33"/>
      <c r="AC289" s="33"/>
      <c r="AD289" s="33"/>
      <c r="AE289" s="33"/>
    </row>
    <row r="290" spans="1:31" hidden="1" x14ac:dyDescent="0.25">
      <c r="A290" s="3"/>
      <c r="B290" s="3"/>
      <c r="C290" s="3"/>
      <c r="D290" s="3"/>
      <c r="E290" s="3"/>
      <c r="F290" s="3" t="s">
        <v>679</v>
      </c>
      <c r="G290" s="16"/>
      <c r="H290" s="16"/>
      <c r="I290" s="16"/>
      <c r="J290" s="16"/>
      <c r="K290" s="16"/>
      <c r="L290" s="16"/>
      <c r="M290" s="16"/>
      <c r="N290" s="16">
        <f t="shared" si="42"/>
        <v>0</v>
      </c>
      <c r="O290" s="16"/>
      <c r="P290" s="16"/>
      <c r="Q290" s="16"/>
      <c r="R290" s="16"/>
      <c r="S290" s="16"/>
      <c r="T290" s="16"/>
      <c r="U290" s="16">
        <f t="shared" si="43"/>
        <v>0</v>
      </c>
      <c r="V290" s="5">
        <f t="shared" si="41"/>
        <v>0</v>
      </c>
      <c r="W290" s="5"/>
      <c r="X290" s="16"/>
      <c r="Y290" s="5"/>
      <c r="Z290" s="5"/>
      <c r="AA290" s="5">
        <f t="shared" si="44"/>
        <v>0</v>
      </c>
      <c r="AB290" s="33"/>
      <c r="AC290" s="33"/>
      <c r="AD290" s="33"/>
      <c r="AE290" s="33"/>
    </row>
    <row r="291" spans="1:31" hidden="1" x14ac:dyDescent="0.25">
      <c r="A291" s="3"/>
      <c r="B291" s="3"/>
      <c r="C291" s="3"/>
      <c r="D291" s="3"/>
      <c r="E291" s="3"/>
      <c r="F291" s="3" t="s">
        <v>453</v>
      </c>
      <c r="G291" s="16"/>
      <c r="H291" s="16"/>
      <c r="I291" s="16"/>
      <c r="J291" s="16"/>
      <c r="K291" s="16"/>
      <c r="L291" s="16"/>
      <c r="M291" s="16"/>
      <c r="N291" s="16">
        <f t="shared" si="42"/>
        <v>0</v>
      </c>
      <c r="O291" s="16"/>
      <c r="P291" s="16"/>
      <c r="Q291" s="16"/>
      <c r="R291" s="16"/>
      <c r="S291" s="16"/>
      <c r="T291" s="16"/>
      <c r="U291" s="16">
        <f t="shared" si="43"/>
        <v>0</v>
      </c>
      <c r="V291" s="5">
        <f t="shared" si="41"/>
        <v>0</v>
      </c>
      <c r="W291" s="5"/>
      <c r="X291" s="16">
        <v>301046</v>
      </c>
      <c r="Y291" s="5"/>
      <c r="Z291" s="5"/>
      <c r="AA291" s="5">
        <f t="shared" si="44"/>
        <v>301046</v>
      </c>
      <c r="AB291" s="33"/>
      <c r="AC291" s="33"/>
      <c r="AD291" s="33"/>
      <c r="AE291" s="33"/>
    </row>
    <row r="292" spans="1:31" x14ac:dyDescent="0.25">
      <c r="A292" s="3"/>
      <c r="B292" s="3"/>
      <c r="C292" s="3"/>
      <c r="D292" s="3"/>
      <c r="E292" s="3"/>
      <c r="F292" s="3" t="s">
        <v>695</v>
      </c>
      <c r="G292" s="16">
        <v>23</v>
      </c>
      <c r="H292" s="16">
        <v>23</v>
      </c>
      <c r="I292" s="16"/>
      <c r="J292" s="16"/>
      <c r="K292" s="16"/>
      <c r="L292" s="16"/>
      <c r="M292" s="16"/>
      <c r="N292" s="16">
        <f t="shared" si="42"/>
        <v>23</v>
      </c>
      <c r="O292" s="16"/>
      <c r="P292" s="16"/>
      <c r="Q292" s="16"/>
      <c r="R292" s="16"/>
      <c r="S292" s="16"/>
      <c r="T292" s="16"/>
      <c r="U292" s="16">
        <f t="shared" si="43"/>
        <v>0</v>
      </c>
      <c r="V292" s="5">
        <f t="shared" si="41"/>
        <v>0</v>
      </c>
      <c r="W292" s="5"/>
      <c r="X292" s="16">
        <v>4000000</v>
      </c>
      <c r="Y292" s="5"/>
      <c r="Z292" s="5"/>
      <c r="AA292" s="5"/>
      <c r="AB292" s="33"/>
      <c r="AC292" s="33"/>
      <c r="AD292" s="33"/>
      <c r="AE292" s="33"/>
    </row>
    <row r="293" spans="1:31" x14ac:dyDescent="0.25">
      <c r="A293" s="3"/>
      <c r="B293" s="3"/>
      <c r="C293" s="3"/>
      <c r="D293" s="3"/>
      <c r="E293" s="3"/>
      <c r="F293" s="3" t="s">
        <v>706</v>
      </c>
      <c r="G293" s="16">
        <v>6669007</v>
      </c>
      <c r="H293" s="16">
        <v>8017216</v>
      </c>
      <c r="I293" s="16">
        <v>2125157</v>
      </c>
      <c r="J293" s="16">
        <v>1009200</v>
      </c>
      <c r="K293" s="16">
        <v>2825383</v>
      </c>
      <c r="L293" s="16">
        <f>1019319+999440+1275920</f>
        <v>3294679</v>
      </c>
      <c r="M293" s="16">
        <f>23014</f>
        <v>23014</v>
      </c>
      <c r="N293" s="16">
        <f t="shared" si="42"/>
        <v>17294649</v>
      </c>
      <c r="O293" s="16">
        <v>3654000</v>
      </c>
      <c r="P293" s="16">
        <v>0</v>
      </c>
      <c r="Q293" s="16">
        <v>3654000</v>
      </c>
      <c r="R293" s="16">
        <v>0</v>
      </c>
      <c r="S293" s="16">
        <f>1990560+1327040+0</f>
        <v>3317600</v>
      </c>
      <c r="T293" s="16">
        <v>42</v>
      </c>
      <c r="U293" s="16">
        <f t="shared" si="43"/>
        <v>10625642</v>
      </c>
      <c r="V293" s="5">
        <f t="shared" si="41"/>
        <v>0</v>
      </c>
      <c r="W293" s="5"/>
      <c r="X293" s="16"/>
      <c r="Y293" s="5"/>
      <c r="Z293" s="5"/>
      <c r="AA293" s="5"/>
      <c r="AB293" s="33"/>
      <c r="AC293" s="33"/>
      <c r="AD293" s="33"/>
      <c r="AE293" s="33"/>
    </row>
    <row r="294" spans="1:31" x14ac:dyDescent="0.25">
      <c r="A294" s="3"/>
      <c r="B294" s="3"/>
      <c r="C294" s="3"/>
      <c r="D294" s="3"/>
      <c r="E294" s="3"/>
      <c r="F294" s="3" t="s">
        <v>707</v>
      </c>
      <c r="G294" s="16">
        <v>-257</v>
      </c>
      <c r="H294" s="16"/>
      <c r="I294" s="16"/>
      <c r="J294" s="16"/>
      <c r="K294" s="16"/>
      <c r="L294" s="16"/>
      <c r="M294" s="16"/>
      <c r="N294" s="16">
        <f t="shared" si="42"/>
        <v>0</v>
      </c>
      <c r="O294" s="16">
        <v>257</v>
      </c>
      <c r="P294" s="16"/>
      <c r="Q294" s="16"/>
      <c r="R294" s="16"/>
      <c r="S294" s="16"/>
      <c r="T294" s="16"/>
      <c r="U294" s="16">
        <f t="shared" si="43"/>
        <v>257</v>
      </c>
      <c r="V294" s="5">
        <f t="shared" si="41"/>
        <v>0</v>
      </c>
      <c r="W294" s="5"/>
      <c r="X294" s="16"/>
      <c r="Y294" s="5"/>
      <c r="Z294" s="5"/>
      <c r="AA294" s="5"/>
      <c r="AB294" s="33"/>
      <c r="AC294" s="33"/>
      <c r="AD294" s="33"/>
      <c r="AE294" s="33"/>
    </row>
    <row r="295" spans="1:31" x14ac:dyDescent="0.25">
      <c r="A295" s="3"/>
      <c r="B295" s="3"/>
      <c r="C295" s="3"/>
      <c r="D295" s="3"/>
      <c r="E295" s="3"/>
      <c r="F295" s="3" t="s">
        <v>815</v>
      </c>
      <c r="G295" s="16">
        <v>99987</v>
      </c>
      <c r="H295" s="16">
        <v>99987</v>
      </c>
      <c r="I295" s="16"/>
      <c r="J295" s="16"/>
      <c r="K295" s="16"/>
      <c r="L295" s="16">
        <v>0</v>
      </c>
      <c r="M295" s="16"/>
      <c r="N295" s="16">
        <f t="shared" si="42"/>
        <v>99987</v>
      </c>
      <c r="O295" s="16"/>
      <c r="P295" s="16"/>
      <c r="Q295" s="16"/>
      <c r="R295" s="16"/>
      <c r="S295" s="16">
        <v>0</v>
      </c>
      <c r="T295" s="16"/>
      <c r="U295" s="16">
        <f t="shared" si="43"/>
        <v>0</v>
      </c>
      <c r="V295" s="5">
        <f t="shared" si="41"/>
        <v>0</v>
      </c>
      <c r="W295" s="5"/>
      <c r="X295" s="16"/>
      <c r="Y295" s="5"/>
      <c r="Z295" s="5"/>
      <c r="AA295" s="5"/>
      <c r="AB295" s="33"/>
      <c r="AC295" s="33"/>
      <c r="AD295" s="33"/>
      <c r="AE295" s="33"/>
    </row>
    <row r="296" spans="1:31" x14ac:dyDescent="0.25">
      <c r="A296" s="3"/>
      <c r="B296" s="3"/>
      <c r="C296" s="3"/>
      <c r="D296" s="3"/>
      <c r="E296" s="3"/>
      <c r="F296" s="3" t="s">
        <v>816</v>
      </c>
      <c r="G296" s="16">
        <v>993652</v>
      </c>
      <c r="H296" s="16">
        <v>1485776</v>
      </c>
      <c r="I296" s="16">
        <v>268001</v>
      </c>
      <c r="J296" s="16">
        <v>182473</v>
      </c>
      <c r="K296" s="16">
        <v>161737</v>
      </c>
      <c r="L296" s="16">
        <f>124800+927+0</f>
        <v>125727</v>
      </c>
      <c r="M296" s="16"/>
      <c r="N296" s="16">
        <f t="shared" si="42"/>
        <v>2223714</v>
      </c>
      <c r="O296" s="16">
        <v>1031000</v>
      </c>
      <c r="P296" s="16"/>
      <c r="Q296" s="16">
        <v>154000</v>
      </c>
      <c r="R296" s="16">
        <v>10000</v>
      </c>
      <c r="S296" s="16">
        <v>35000</v>
      </c>
      <c r="T296" s="16">
        <v>62</v>
      </c>
      <c r="U296" s="16">
        <f t="shared" si="43"/>
        <v>1230062</v>
      </c>
      <c r="V296" s="5">
        <f t="shared" si="41"/>
        <v>0</v>
      </c>
      <c r="W296" s="5"/>
      <c r="X296" s="16"/>
      <c r="Y296" s="5"/>
      <c r="Z296" s="5"/>
      <c r="AA296" s="5"/>
      <c r="AB296" s="33"/>
      <c r="AC296" s="33"/>
      <c r="AD296" s="33"/>
      <c r="AE296" s="33"/>
    </row>
    <row r="297" spans="1:31" x14ac:dyDescent="0.25">
      <c r="A297" s="3"/>
      <c r="B297" s="3"/>
      <c r="C297" s="3"/>
      <c r="D297" s="3"/>
      <c r="E297" s="3"/>
      <c r="F297" s="3" t="s">
        <v>831</v>
      </c>
      <c r="G297" s="16">
        <v>0</v>
      </c>
      <c r="H297" s="16">
        <v>1940649</v>
      </c>
      <c r="I297" s="16">
        <v>742447</v>
      </c>
      <c r="J297" s="16">
        <v>301904</v>
      </c>
      <c r="K297" s="16"/>
      <c r="L297" s="16"/>
      <c r="M297" s="16"/>
      <c r="N297" s="16">
        <f t="shared" si="42"/>
        <v>2985000</v>
      </c>
      <c r="O297" s="16">
        <v>2985000</v>
      </c>
      <c r="P297" s="16">
        <v>0</v>
      </c>
      <c r="Q297" s="16">
        <v>0</v>
      </c>
      <c r="R297" s="16"/>
      <c r="S297" s="16"/>
      <c r="T297" s="16"/>
      <c r="U297" s="16">
        <f t="shared" si="43"/>
        <v>2985000</v>
      </c>
      <c r="V297" s="5">
        <f t="shared" si="41"/>
        <v>0</v>
      </c>
      <c r="W297" s="5"/>
      <c r="X297" s="16"/>
      <c r="Y297" s="5"/>
      <c r="Z297" s="5"/>
      <c r="AA297" s="5"/>
      <c r="AB297" s="33"/>
      <c r="AC297" s="33"/>
      <c r="AD297" s="33"/>
      <c r="AE297" s="33"/>
    </row>
    <row r="298" spans="1:31" x14ac:dyDescent="0.25">
      <c r="A298" s="3"/>
      <c r="B298" s="3"/>
      <c r="C298" s="3"/>
      <c r="D298" s="3"/>
      <c r="E298" s="3"/>
      <c r="F298" s="3" t="s">
        <v>846</v>
      </c>
      <c r="G298" s="16"/>
      <c r="H298" s="16"/>
      <c r="I298" s="16"/>
      <c r="J298" s="16"/>
      <c r="K298" s="16"/>
      <c r="L298" s="16">
        <f>287455+752008</f>
        <v>1039463</v>
      </c>
      <c r="M298" s="16">
        <f>1079509+377569</f>
        <v>1457078</v>
      </c>
      <c r="N298" s="16">
        <f t="shared" si="42"/>
        <v>2496541</v>
      </c>
      <c r="O298" s="16"/>
      <c r="P298" s="16"/>
      <c r="Q298" s="16"/>
      <c r="R298" s="16"/>
      <c r="S298" s="16">
        <f>0+1747578</f>
        <v>1747578</v>
      </c>
      <c r="T298" s="16">
        <f>748963+0</f>
        <v>748963</v>
      </c>
      <c r="U298" s="16">
        <f t="shared" si="43"/>
        <v>2496541</v>
      </c>
      <c r="V298" s="5">
        <f>+G298+U298-N298</f>
        <v>0</v>
      </c>
      <c r="W298" s="5"/>
      <c r="X298" s="16"/>
      <c r="Y298" s="5"/>
      <c r="Z298" s="5"/>
      <c r="AA298" s="5"/>
      <c r="AB298" s="33"/>
      <c r="AC298" s="33"/>
      <c r="AD298" s="33"/>
      <c r="AE298" s="33"/>
    </row>
    <row r="299" spans="1:31" x14ac:dyDescent="0.25">
      <c r="A299" s="3"/>
      <c r="B299" s="3"/>
      <c r="C299" s="3"/>
      <c r="D299" s="3"/>
      <c r="E299" s="3"/>
      <c r="F299" s="3" t="s">
        <v>847</v>
      </c>
      <c r="G299" s="16">
        <v>0</v>
      </c>
      <c r="H299" s="16">
        <v>1940649</v>
      </c>
      <c r="I299" s="16">
        <v>742447</v>
      </c>
      <c r="J299" s="16">
        <v>301904</v>
      </c>
      <c r="K299" s="16"/>
      <c r="L299" s="16">
        <f>636000+1350290</f>
        <v>1986290</v>
      </c>
      <c r="M299" s="16">
        <f>1649124+978735+1142101</f>
        <v>3769960</v>
      </c>
      <c r="N299" s="16">
        <f t="shared" ref="N299" si="45">SUM(H299:M299)</f>
        <v>8741250</v>
      </c>
      <c r="O299" s="16">
        <v>2985000</v>
      </c>
      <c r="P299" s="16">
        <v>0</v>
      </c>
      <c r="Q299" s="16">
        <v>0</v>
      </c>
      <c r="R299" s="16"/>
      <c r="S299" s="16">
        <f>1986289+1</f>
        <v>1986290</v>
      </c>
      <c r="T299" s="16">
        <f>2648392+30+1121538</f>
        <v>3769960</v>
      </c>
      <c r="U299" s="16">
        <f t="shared" ref="U299" si="46">SUM(O299:T299)</f>
        <v>8741250</v>
      </c>
      <c r="V299" s="5">
        <f>+G299+U299-N299</f>
        <v>0</v>
      </c>
      <c r="W299" s="5"/>
      <c r="X299" s="16"/>
      <c r="Y299" s="5"/>
      <c r="Z299" s="5"/>
      <c r="AA299" s="5"/>
      <c r="AB299" s="33"/>
      <c r="AC299" s="33"/>
      <c r="AD299" s="33"/>
      <c r="AE299" s="33"/>
    </row>
    <row r="300" spans="1:31" x14ac:dyDescent="0.25">
      <c r="A300" s="3"/>
      <c r="B300" s="3"/>
      <c r="C300" s="3"/>
      <c r="D300" s="3"/>
      <c r="E300" s="3"/>
      <c r="F300" s="3" t="s">
        <v>1298</v>
      </c>
      <c r="G300" s="16">
        <v>0</v>
      </c>
      <c r="H300" s="16">
        <v>1940649</v>
      </c>
      <c r="I300" s="16">
        <v>742447</v>
      </c>
      <c r="J300" s="16">
        <v>301904</v>
      </c>
      <c r="K300" s="16"/>
      <c r="L300" s="16">
        <f>636000+1350290</f>
        <v>1986290</v>
      </c>
      <c r="M300" s="16">
        <f>853974+1646031</f>
        <v>2500005</v>
      </c>
      <c r="N300" s="16">
        <f t="shared" si="42"/>
        <v>7471295</v>
      </c>
      <c r="O300" s="16">
        <v>2985000</v>
      </c>
      <c r="P300" s="16">
        <v>0</v>
      </c>
      <c r="Q300" s="16">
        <v>0</v>
      </c>
      <c r="R300" s="16"/>
      <c r="S300" s="16">
        <f>1986289+1</f>
        <v>1986290</v>
      </c>
      <c r="T300" s="16">
        <f>2500000+5</f>
        <v>2500005</v>
      </c>
      <c r="U300" s="16">
        <f t="shared" si="43"/>
        <v>7471295</v>
      </c>
      <c r="V300" s="5">
        <f>+G300+U300-N300</f>
        <v>0</v>
      </c>
      <c r="W300" s="5"/>
      <c r="X300" s="16"/>
      <c r="Y300" s="5"/>
      <c r="Z300" s="5"/>
      <c r="AA300" s="5"/>
      <c r="AB300" s="33"/>
      <c r="AC300" s="33"/>
      <c r="AD300" s="33"/>
      <c r="AE300" s="33"/>
    </row>
    <row r="301" spans="1:31" hidden="1" x14ac:dyDescent="0.25">
      <c r="A301" s="14">
        <v>2</v>
      </c>
      <c r="B301" s="14">
        <v>1</v>
      </c>
      <c r="C301" s="14">
        <v>2</v>
      </c>
      <c r="D301" s="14"/>
      <c r="E301" s="14"/>
      <c r="F301" s="19" t="s">
        <v>45</v>
      </c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5"/>
      <c r="W301" s="15"/>
      <c r="X301" s="19"/>
      <c r="Y301" s="15"/>
      <c r="Z301" s="15"/>
      <c r="AA301" s="15"/>
      <c r="AB301" s="33"/>
      <c r="AC301" s="33"/>
      <c r="AD301" s="33"/>
      <c r="AE301" s="33"/>
    </row>
    <row r="302" spans="1:31" hidden="1" x14ac:dyDescent="0.25">
      <c r="A302" s="3">
        <v>2</v>
      </c>
      <c r="B302" s="3">
        <v>1</v>
      </c>
      <c r="C302" s="3">
        <v>2</v>
      </c>
      <c r="D302" s="3">
        <v>1</v>
      </c>
      <c r="E302" s="3"/>
      <c r="F302" s="3" t="s">
        <v>173</v>
      </c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5"/>
      <c r="W302" s="5"/>
      <c r="X302" s="3"/>
      <c r="Y302" s="5"/>
      <c r="Z302" s="5"/>
      <c r="AA302" s="5"/>
      <c r="AB302" s="33"/>
      <c r="AC302" s="33"/>
      <c r="AD302" s="33"/>
      <c r="AE302" s="33"/>
    </row>
    <row r="303" spans="1:31" ht="24" hidden="1" x14ac:dyDescent="0.25">
      <c r="A303" s="3">
        <v>2</v>
      </c>
      <c r="B303" s="3">
        <v>1</v>
      </c>
      <c r="C303" s="3">
        <v>2</v>
      </c>
      <c r="D303" s="3">
        <v>2</v>
      </c>
      <c r="E303" s="3"/>
      <c r="F303" s="3" t="s">
        <v>174</v>
      </c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5"/>
      <c r="W303" s="5"/>
      <c r="X303" s="3"/>
      <c r="Y303" s="5"/>
      <c r="Z303" s="5"/>
      <c r="AA303" s="5"/>
      <c r="AB303" s="33"/>
      <c r="AC303" s="33"/>
      <c r="AD303" s="33"/>
      <c r="AE303" s="33"/>
    </row>
    <row r="304" spans="1:31" hidden="1" x14ac:dyDescent="0.25">
      <c r="A304" s="3">
        <v>2</v>
      </c>
      <c r="B304" s="3">
        <v>1</v>
      </c>
      <c r="C304" s="3">
        <v>2</v>
      </c>
      <c r="D304" s="3">
        <v>9</v>
      </c>
      <c r="E304" s="3"/>
      <c r="F304" s="3" t="s">
        <v>175</v>
      </c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5"/>
      <c r="W304" s="5"/>
      <c r="X304" s="3"/>
      <c r="Y304" s="5"/>
      <c r="Z304" s="5"/>
      <c r="AA304" s="5"/>
      <c r="AB304" s="33"/>
      <c r="AC304" s="33"/>
      <c r="AD304" s="33"/>
      <c r="AE304" s="33"/>
    </row>
    <row r="305" spans="1:31" ht="24" hidden="1" x14ac:dyDescent="0.25">
      <c r="A305" s="3">
        <v>2</v>
      </c>
      <c r="B305" s="3">
        <v>1</v>
      </c>
      <c r="C305" s="3">
        <v>3</v>
      </c>
      <c r="D305" s="3"/>
      <c r="E305" s="3"/>
      <c r="F305" s="4" t="s">
        <v>47</v>
      </c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5"/>
      <c r="W305" s="5"/>
      <c r="X305" s="4"/>
      <c r="Y305" s="5"/>
      <c r="Z305" s="5"/>
      <c r="AA305" s="5"/>
      <c r="AB305" s="33"/>
      <c r="AC305" s="33"/>
      <c r="AD305" s="33"/>
      <c r="AE305" s="33"/>
    </row>
    <row r="306" spans="1:31" hidden="1" x14ac:dyDescent="0.25">
      <c r="A306" s="3">
        <v>2</v>
      </c>
      <c r="B306" s="3">
        <v>1</v>
      </c>
      <c r="C306" s="3">
        <v>3</v>
      </c>
      <c r="D306" s="3">
        <v>1</v>
      </c>
      <c r="E306" s="3"/>
      <c r="F306" s="3" t="s">
        <v>176</v>
      </c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5"/>
      <c r="W306" s="5"/>
      <c r="X306" s="3"/>
      <c r="Y306" s="5"/>
      <c r="Z306" s="5"/>
      <c r="AA306" s="5"/>
      <c r="AB306" s="33"/>
      <c r="AC306" s="33"/>
      <c r="AD306" s="33"/>
      <c r="AE306" s="33"/>
    </row>
    <row r="307" spans="1:31" hidden="1" x14ac:dyDescent="0.25">
      <c r="A307" s="3">
        <v>2</v>
      </c>
      <c r="B307" s="3">
        <v>1</v>
      </c>
      <c r="C307" s="3">
        <v>3</v>
      </c>
      <c r="D307" s="3">
        <v>2</v>
      </c>
      <c r="E307" s="3"/>
      <c r="F307" s="3" t="s">
        <v>177</v>
      </c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5"/>
      <c r="W307" s="5"/>
      <c r="X307" s="3"/>
      <c r="Y307" s="5"/>
      <c r="Z307" s="5"/>
      <c r="AA307" s="5"/>
      <c r="AB307" s="33"/>
      <c r="AC307" s="33"/>
      <c r="AD307" s="33"/>
      <c r="AE307" s="33"/>
    </row>
    <row r="308" spans="1:31" hidden="1" x14ac:dyDescent="0.25">
      <c r="A308" s="3">
        <v>2</v>
      </c>
      <c r="B308" s="3">
        <v>1</v>
      </c>
      <c r="C308" s="3">
        <v>3</v>
      </c>
      <c r="D308" s="3">
        <v>3</v>
      </c>
      <c r="E308" s="3"/>
      <c r="F308" s="3" t="s">
        <v>178</v>
      </c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5"/>
      <c r="W308" s="5"/>
      <c r="X308" s="3"/>
      <c r="Y308" s="5"/>
      <c r="Z308" s="5"/>
      <c r="AA308" s="5"/>
      <c r="AB308" s="33"/>
      <c r="AC308" s="33"/>
      <c r="AD308" s="33"/>
      <c r="AE308" s="33"/>
    </row>
    <row r="309" spans="1:31" hidden="1" x14ac:dyDescent="0.25">
      <c r="A309" s="3">
        <v>2</v>
      </c>
      <c r="B309" s="3">
        <v>1</v>
      </c>
      <c r="C309" s="3">
        <v>4</v>
      </c>
      <c r="D309" s="3"/>
      <c r="E309" s="3"/>
      <c r="F309" s="4" t="s">
        <v>48</v>
      </c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5"/>
      <c r="W309" s="5"/>
      <c r="X309" s="4"/>
      <c r="Y309" s="5"/>
      <c r="Z309" s="5"/>
      <c r="AA309" s="5"/>
      <c r="AB309" s="33"/>
      <c r="AC309" s="33"/>
      <c r="AD309" s="33"/>
      <c r="AE309" s="33"/>
    </row>
    <row r="310" spans="1:31" ht="24" hidden="1" x14ac:dyDescent="0.25">
      <c r="A310" s="3">
        <v>2</v>
      </c>
      <c r="B310" s="3">
        <v>1</v>
      </c>
      <c r="C310" s="3">
        <v>4</v>
      </c>
      <c r="D310" s="3">
        <v>1</v>
      </c>
      <c r="E310" s="3"/>
      <c r="F310" s="3" t="s">
        <v>179</v>
      </c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5"/>
      <c r="W310" s="5"/>
      <c r="X310" s="3"/>
      <c r="Y310" s="5"/>
      <c r="Z310" s="5"/>
      <c r="AA310" s="5"/>
      <c r="AB310" s="33"/>
      <c r="AC310" s="33"/>
      <c r="AD310" s="33"/>
      <c r="AE310" s="33"/>
    </row>
    <row r="311" spans="1:31" ht="24" hidden="1" x14ac:dyDescent="0.25">
      <c r="A311" s="3">
        <v>2</v>
      </c>
      <c r="B311" s="3">
        <v>1</v>
      </c>
      <c r="C311" s="3">
        <v>4</v>
      </c>
      <c r="D311" s="3">
        <v>2</v>
      </c>
      <c r="E311" s="3"/>
      <c r="F311" s="3" t="s">
        <v>180</v>
      </c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5"/>
      <c r="W311" s="5"/>
      <c r="X311" s="3"/>
      <c r="Y311" s="5"/>
      <c r="Z311" s="5"/>
      <c r="AA311" s="5"/>
      <c r="AB311" s="33"/>
      <c r="AC311" s="33"/>
      <c r="AD311" s="33"/>
      <c r="AE311" s="33"/>
    </row>
    <row r="312" spans="1:31" hidden="1" x14ac:dyDescent="0.25">
      <c r="A312" s="3">
        <v>2</v>
      </c>
      <c r="B312" s="3">
        <v>1</v>
      </c>
      <c r="C312" s="3">
        <v>5</v>
      </c>
      <c r="D312" s="3"/>
      <c r="E312" s="3"/>
      <c r="F312" s="4" t="s">
        <v>50</v>
      </c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5"/>
      <c r="W312" s="5"/>
      <c r="X312" s="4"/>
      <c r="Y312" s="5"/>
      <c r="Z312" s="5"/>
      <c r="AA312" s="5"/>
      <c r="AB312" s="33"/>
      <c r="AC312" s="33"/>
      <c r="AD312" s="33"/>
      <c r="AE312" s="33"/>
    </row>
    <row r="313" spans="1:31" hidden="1" x14ac:dyDescent="0.25">
      <c r="A313" s="3">
        <v>2</v>
      </c>
      <c r="B313" s="3">
        <v>1</v>
      </c>
      <c r="C313" s="3">
        <v>5</v>
      </c>
      <c r="D313" s="3">
        <v>1</v>
      </c>
      <c r="E313" s="3"/>
      <c r="F313" s="3" t="s">
        <v>181</v>
      </c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5"/>
      <c r="W313" s="5"/>
      <c r="X313" s="3"/>
      <c r="Y313" s="5"/>
      <c r="Z313" s="5"/>
      <c r="AA313" s="5"/>
      <c r="AB313" s="33"/>
      <c r="AC313" s="33"/>
      <c r="AD313" s="33"/>
      <c r="AE313" s="33"/>
    </row>
    <row r="314" spans="1:31" hidden="1" x14ac:dyDescent="0.25">
      <c r="A314" s="3">
        <v>2</v>
      </c>
      <c r="B314" s="3">
        <v>1</v>
      </c>
      <c r="C314" s="3">
        <v>5</v>
      </c>
      <c r="D314" s="3">
        <v>2</v>
      </c>
      <c r="E314" s="3"/>
      <c r="F314" s="3" t="s">
        <v>182</v>
      </c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5"/>
      <c r="W314" s="5"/>
      <c r="X314" s="3"/>
      <c r="Y314" s="5"/>
      <c r="Z314" s="5"/>
      <c r="AA314" s="5"/>
      <c r="AB314" s="33"/>
      <c r="AC314" s="33"/>
      <c r="AD314" s="33"/>
      <c r="AE314" s="33"/>
    </row>
    <row r="315" spans="1:31" hidden="1" x14ac:dyDescent="0.25">
      <c r="A315" s="3">
        <v>2</v>
      </c>
      <c r="B315" s="3">
        <v>1</v>
      </c>
      <c r="C315" s="3">
        <v>5</v>
      </c>
      <c r="D315" s="3">
        <v>9</v>
      </c>
      <c r="E315" s="3"/>
      <c r="F315" s="3" t="s">
        <v>183</v>
      </c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5"/>
      <c r="W315" s="5"/>
      <c r="X315" s="3"/>
      <c r="Y315" s="5"/>
      <c r="Z315" s="5"/>
      <c r="AA315" s="5"/>
      <c r="AB315" s="33"/>
      <c r="AC315" s="33"/>
      <c r="AD315" s="33"/>
      <c r="AE315" s="33"/>
    </row>
    <row r="316" spans="1:31" ht="24" x14ac:dyDescent="0.25">
      <c r="A316" s="8">
        <v>2</v>
      </c>
      <c r="B316" s="8">
        <v>1</v>
      </c>
      <c r="C316" s="8">
        <v>6</v>
      </c>
      <c r="D316" s="8"/>
      <c r="E316" s="8"/>
      <c r="F316" s="11" t="s">
        <v>52</v>
      </c>
      <c r="G316" s="7">
        <f>G321</f>
        <v>310862</v>
      </c>
      <c r="H316" s="7">
        <f t="shared" ref="H316:M316" si="47">H321</f>
        <v>592453</v>
      </c>
      <c r="I316" s="7">
        <f t="shared" si="47"/>
        <v>141051</v>
      </c>
      <c r="J316" s="7">
        <f t="shared" si="47"/>
        <v>202660</v>
      </c>
      <c r="K316" s="7">
        <f t="shared" si="47"/>
        <v>0</v>
      </c>
      <c r="L316" s="7">
        <f t="shared" si="47"/>
        <v>0</v>
      </c>
      <c r="M316" s="7">
        <f t="shared" si="47"/>
        <v>0</v>
      </c>
      <c r="N316" s="7">
        <f>N321</f>
        <v>2318606</v>
      </c>
      <c r="O316" s="7">
        <f t="shared" ref="O316:T316" si="48">O321</f>
        <v>446063</v>
      </c>
      <c r="P316" s="7">
        <f t="shared" si="48"/>
        <v>186333</v>
      </c>
      <c r="Q316" s="7">
        <f t="shared" si="48"/>
        <v>173003</v>
      </c>
      <c r="R316" s="7">
        <f t="shared" si="48"/>
        <v>163359</v>
      </c>
      <c r="S316" s="7">
        <f t="shared" si="48"/>
        <v>0</v>
      </c>
      <c r="T316" s="7">
        <f t="shared" si="48"/>
        <v>0</v>
      </c>
      <c r="U316" s="7">
        <f>U321</f>
        <v>2103115</v>
      </c>
      <c r="V316" s="7">
        <f>V321</f>
        <v>95371</v>
      </c>
      <c r="W316" s="7"/>
      <c r="X316" s="7">
        <f>X321</f>
        <v>279103</v>
      </c>
      <c r="Y316" s="7"/>
      <c r="Z316" s="7"/>
      <c r="AA316" s="7">
        <f>AA321</f>
        <v>279103</v>
      </c>
      <c r="AB316" s="33"/>
      <c r="AC316" s="33"/>
      <c r="AD316" s="33"/>
      <c r="AE316" s="33"/>
    </row>
    <row r="317" spans="1:31" hidden="1" x14ac:dyDescent="0.25">
      <c r="A317" s="3">
        <v>2</v>
      </c>
      <c r="B317" s="3">
        <v>1</v>
      </c>
      <c r="C317" s="3">
        <v>6</v>
      </c>
      <c r="D317" s="3">
        <v>1</v>
      </c>
      <c r="E317" s="3"/>
      <c r="F317" s="3" t="s">
        <v>184</v>
      </c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5"/>
      <c r="W317" s="5"/>
      <c r="X317" s="3"/>
      <c r="Y317" s="5"/>
      <c r="Z317" s="5"/>
      <c r="AA317" s="5"/>
      <c r="AB317" s="33"/>
      <c r="AC317" s="33"/>
      <c r="AD317" s="33"/>
      <c r="AE317" s="33"/>
    </row>
    <row r="318" spans="1:31" hidden="1" x14ac:dyDescent="0.25">
      <c r="A318" s="3">
        <v>2</v>
      </c>
      <c r="B318" s="3">
        <v>1</v>
      </c>
      <c r="C318" s="3">
        <v>6</v>
      </c>
      <c r="D318" s="3">
        <v>2</v>
      </c>
      <c r="E318" s="3"/>
      <c r="F318" s="3" t="s">
        <v>185</v>
      </c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5"/>
      <c r="W318" s="5"/>
      <c r="X318" s="3"/>
      <c r="Y318" s="5"/>
      <c r="Z318" s="5"/>
      <c r="AA318" s="5"/>
      <c r="AB318" s="33"/>
      <c r="AC318" s="33"/>
      <c r="AD318" s="33"/>
      <c r="AE318" s="33"/>
    </row>
    <row r="319" spans="1:31" hidden="1" x14ac:dyDescent="0.25">
      <c r="A319" s="3">
        <v>2</v>
      </c>
      <c r="B319" s="3">
        <v>1</v>
      </c>
      <c r="C319" s="3">
        <v>6</v>
      </c>
      <c r="D319" s="3">
        <v>3</v>
      </c>
      <c r="E319" s="3"/>
      <c r="F319" s="3" t="s">
        <v>186</v>
      </c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5"/>
      <c r="W319" s="5"/>
      <c r="X319" s="3"/>
      <c r="Y319" s="5"/>
      <c r="Z319" s="5"/>
      <c r="AA319" s="5"/>
      <c r="AB319" s="33"/>
      <c r="AC319" s="33"/>
      <c r="AD319" s="33"/>
      <c r="AE319" s="33"/>
    </row>
    <row r="320" spans="1:31" ht="24" hidden="1" x14ac:dyDescent="0.25">
      <c r="A320" s="3">
        <v>2</v>
      </c>
      <c r="B320" s="3">
        <v>1</v>
      </c>
      <c r="C320" s="3">
        <v>6</v>
      </c>
      <c r="D320" s="3">
        <v>4</v>
      </c>
      <c r="E320" s="3"/>
      <c r="F320" s="3" t="s">
        <v>187</v>
      </c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5"/>
      <c r="W320" s="5"/>
      <c r="X320" s="3"/>
      <c r="Y320" s="5"/>
      <c r="Z320" s="5"/>
      <c r="AA320" s="5"/>
      <c r="AB320" s="33"/>
      <c r="AC320" s="33"/>
      <c r="AD320" s="33"/>
      <c r="AE320" s="33"/>
    </row>
    <row r="321" spans="1:31" ht="24" x14ac:dyDescent="0.25">
      <c r="A321" s="3">
        <v>2</v>
      </c>
      <c r="B321" s="3">
        <v>1</v>
      </c>
      <c r="C321" s="3">
        <v>6</v>
      </c>
      <c r="D321" s="3">
        <v>5</v>
      </c>
      <c r="E321" s="3"/>
      <c r="F321" s="3" t="s">
        <v>188</v>
      </c>
      <c r="G321" s="5">
        <f>SUM(G322:G327)</f>
        <v>310862</v>
      </c>
      <c r="H321" s="5">
        <f>SUM(H322:H327)</f>
        <v>592453</v>
      </c>
      <c r="I321" s="5">
        <f>SUM(I322:I327)</f>
        <v>141051</v>
      </c>
      <c r="J321" s="5">
        <f>SUM(J322:J327)</f>
        <v>202660</v>
      </c>
      <c r="K321" s="5">
        <f>SUM(K322:K327)</f>
        <v>0</v>
      </c>
      <c r="L321" s="5"/>
      <c r="M321" s="5"/>
      <c r="N321" s="5">
        <f>SUM(N322:N327)</f>
        <v>2318606</v>
      </c>
      <c r="O321" s="5">
        <f>SUM(O322:O327)</f>
        <v>446063</v>
      </c>
      <c r="P321" s="5">
        <f>SUM(P322:P327)</f>
        <v>186333</v>
      </c>
      <c r="Q321" s="5">
        <f>SUM(Q322:Q327)</f>
        <v>173003</v>
      </c>
      <c r="R321" s="5">
        <f>SUM(R322:R327)</f>
        <v>163359</v>
      </c>
      <c r="S321" s="5"/>
      <c r="T321" s="5"/>
      <c r="U321" s="5">
        <f>SUM(U322:U327)</f>
        <v>2103115</v>
      </c>
      <c r="V321" s="5">
        <f>SUM(V322:V327)</f>
        <v>95371</v>
      </c>
      <c r="W321" s="5"/>
      <c r="X321" s="5">
        <f>SUM(X322:X327)</f>
        <v>279103</v>
      </c>
      <c r="Y321" s="5"/>
      <c r="Z321" s="5"/>
      <c r="AA321" s="5">
        <f>SUM(AA322:AA328)</f>
        <v>279103</v>
      </c>
      <c r="AB321" s="33"/>
      <c r="AC321" s="33"/>
      <c r="AD321" s="33"/>
      <c r="AE321" s="33"/>
    </row>
    <row r="322" spans="1:31" x14ac:dyDescent="0.25">
      <c r="A322" s="3"/>
      <c r="B322" s="3"/>
      <c r="C322" s="3"/>
      <c r="D322" s="3"/>
      <c r="E322" s="3"/>
      <c r="F322" s="3" t="s">
        <v>562</v>
      </c>
      <c r="G322" s="16"/>
      <c r="H322" s="16"/>
      <c r="I322" s="16"/>
      <c r="J322" s="16"/>
      <c r="K322" s="16"/>
      <c r="L322" s="16"/>
      <c r="M322" s="16">
        <v>10282</v>
      </c>
      <c r="N322" s="16">
        <f>SUM(H322:M322)</f>
        <v>10282</v>
      </c>
      <c r="O322" s="16"/>
      <c r="P322" s="16"/>
      <c r="Q322" s="16"/>
      <c r="R322" s="16"/>
      <c r="S322" s="16"/>
      <c r="T322" s="16">
        <v>10282</v>
      </c>
      <c r="U322" s="16">
        <f>SUM(O322:T322)</f>
        <v>10282</v>
      </c>
      <c r="V322" s="5">
        <f t="shared" ref="V322:V327" si="49">+G322+U322-N322</f>
        <v>0</v>
      </c>
      <c r="W322" s="5"/>
      <c r="X322" s="16">
        <v>0</v>
      </c>
      <c r="Y322" s="5"/>
      <c r="Z322" s="5"/>
      <c r="AA322" s="5">
        <f t="shared" ref="AA322:AA328" si="50">X322-Y322+Z322</f>
        <v>0</v>
      </c>
      <c r="AB322" s="33"/>
      <c r="AC322" s="33"/>
      <c r="AD322" s="33"/>
      <c r="AE322" s="33"/>
    </row>
    <row r="323" spans="1:31" x14ac:dyDescent="0.25">
      <c r="A323" s="3"/>
      <c r="B323" s="3"/>
      <c r="C323" s="3"/>
      <c r="D323" s="3"/>
      <c r="E323" s="3"/>
      <c r="F323" s="3" t="s">
        <v>567</v>
      </c>
      <c r="G323" s="16">
        <v>0</v>
      </c>
      <c r="H323" s="16">
        <v>173947</v>
      </c>
      <c r="I323" s="16">
        <v>121825</v>
      </c>
      <c r="J323" s="16">
        <v>116531</v>
      </c>
      <c r="K323" s="16">
        <v>0</v>
      </c>
      <c r="L323" s="16">
        <f>244354+116530+120685</f>
        <v>481569</v>
      </c>
      <c r="M323" s="16">
        <f>120906+121815+343069+1</f>
        <v>585791</v>
      </c>
      <c r="N323" s="16">
        <f>SUM(H323:M323)</f>
        <v>1479663</v>
      </c>
      <c r="O323" s="16">
        <v>295773</v>
      </c>
      <c r="P323" s="16">
        <v>116530</v>
      </c>
      <c r="Q323" s="16">
        <v>127824</v>
      </c>
      <c r="R323" s="16">
        <v>116530</v>
      </c>
      <c r="S323" s="16">
        <f>116530+120906+120686</f>
        <v>358122</v>
      </c>
      <c r="T323" s="16">
        <f>121815+133923+209146</f>
        <v>464884</v>
      </c>
      <c r="U323" s="16">
        <f t="shared" ref="U323:U328" si="51">SUM(O323:T323)</f>
        <v>1479663</v>
      </c>
      <c r="V323" s="5">
        <f t="shared" si="49"/>
        <v>0</v>
      </c>
      <c r="W323" s="5"/>
      <c r="X323" s="16">
        <v>0</v>
      </c>
      <c r="Y323" s="5"/>
      <c r="Z323" s="5"/>
      <c r="AA323" s="5">
        <f t="shared" si="50"/>
        <v>0</v>
      </c>
      <c r="AB323" s="33"/>
      <c r="AC323" s="33"/>
      <c r="AD323" s="33"/>
      <c r="AE323" s="33"/>
    </row>
    <row r="324" spans="1:31" x14ac:dyDescent="0.25">
      <c r="A324" s="3"/>
      <c r="B324" s="3"/>
      <c r="C324" s="3"/>
      <c r="D324" s="3"/>
      <c r="E324" s="3"/>
      <c r="F324" s="3" t="s">
        <v>563</v>
      </c>
      <c r="G324" s="16"/>
      <c r="H324" s="16">
        <v>28196</v>
      </c>
      <c r="I324" s="16">
        <v>19226</v>
      </c>
      <c r="J324" s="16">
        <v>2033</v>
      </c>
      <c r="K324" s="16">
        <v>0</v>
      </c>
      <c r="L324" s="16">
        <v>4925</v>
      </c>
      <c r="M324" s="16">
        <f>2169+6925</f>
        <v>9094</v>
      </c>
      <c r="N324" s="16">
        <f t="shared" ref="N324:N328" si="52">SUM(H324:M324)</f>
        <v>63474</v>
      </c>
      <c r="O324" s="16">
        <v>30275</v>
      </c>
      <c r="P324" s="16">
        <v>26274</v>
      </c>
      <c r="Q324" s="16">
        <v>0</v>
      </c>
      <c r="R324" s="16">
        <v>0</v>
      </c>
      <c r="S324" s="16"/>
      <c r="T324" s="16">
        <f>0+6925</f>
        <v>6925</v>
      </c>
      <c r="U324" s="16">
        <f t="shared" si="51"/>
        <v>63474</v>
      </c>
      <c r="V324" s="5">
        <f t="shared" si="49"/>
        <v>0</v>
      </c>
      <c r="W324" s="5"/>
      <c r="X324" s="16">
        <v>0</v>
      </c>
      <c r="Y324" s="5"/>
      <c r="Z324" s="5"/>
      <c r="AA324" s="5">
        <f t="shared" si="50"/>
        <v>0</v>
      </c>
      <c r="AB324" s="33"/>
      <c r="AC324" s="33"/>
      <c r="AD324" s="33"/>
      <c r="AE324" s="33"/>
    </row>
    <row r="325" spans="1:31" x14ac:dyDescent="0.25">
      <c r="A325" s="3"/>
      <c r="B325" s="3"/>
      <c r="C325" s="3"/>
      <c r="D325" s="3"/>
      <c r="E325" s="3"/>
      <c r="F325" s="3" t="s">
        <v>564</v>
      </c>
      <c r="G325" s="16"/>
      <c r="H325" s="16"/>
      <c r="I325" s="16"/>
      <c r="J325" s="16"/>
      <c r="K325" s="16"/>
      <c r="L325" s="16"/>
      <c r="M325" s="16">
        <v>10968</v>
      </c>
      <c r="N325" s="16">
        <f t="shared" si="52"/>
        <v>10968</v>
      </c>
      <c r="O325" s="16"/>
      <c r="P325" s="16"/>
      <c r="Q325" s="16"/>
      <c r="R325" s="16"/>
      <c r="S325" s="16"/>
      <c r="T325" s="16">
        <v>10968</v>
      </c>
      <c r="U325" s="16">
        <f t="shared" si="51"/>
        <v>10968</v>
      </c>
      <c r="V325" s="5">
        <f t="shared" si="49"/>
        <v>0</v>
      </c>
      <c r="W325" s="5"/>
      <c r="X325" s="16">
        <v>0</v>
      </c>
      <c r="Y325" s="5"/>
      <c r="Z325" s="5"/>
      <c r="AA325" s="5">
        <f t="shared" si="50"/>
        <v>0</v>
      </c>
      <c r="AB325" s="33"/>
      <c r="AC325" s="33"/>
      <c r="AD325" s="33"/>
      <c r="AE325" s="33"/>
    </row>
    <row r="326" spans="1:31" x14ac:dyDescent="0.25">
      <c r="A326" s="3"/>
      <c r="B326" s="3"/>
      <c r="C326" s="3"/>
      <c r="D326" s="3"/>
      <c r="E326" s="3"/>
      <c r="F326" s="3" t="s">
        <v>565</v>
      </c>
      <c r="G326" s="16">
        <v>205499</v>
      </c>
      <c r="H326" s="16">
        <v>249970</v>
      </c>
      <c r="I326" s="16"/>
      <c r="J326" s="16">
        <v>43198</v>
      </c>
      <c r="K326" s="16"/>
      <c r="L326" s="16">
        <f>42240+0+42240</f>
        <v>84480</v>
      </c>
      <c r="M326" s="16">
        <f>42729</f>
        <v>42729</v>
      </c>
      <c r="N326" s="16">
        <f t="shared" si="52"/>
        <v>420377</v>
      </c>
      <c r="O326" s="16">
        <v>66549</v>
      </c>
      <c r="P326" s="16">
        <v>21120</v>
      </c>
      <c r="Q326" s="16">
        <v>21120</v>
      </c>
      <c r="R326" s="16">
        <v>21120</v>
      </c>
      <c r="S326" s="16">
        <f>21120+21120+21120</f>
        <v>63360</v>
      </c>
      <c r="T326" s="16">
        <f>21608+21977+21977</f>
        <v>65562</v>
      </c>
      <c r="U326" s="16">
        <f t="shared" si="51"/>
        <v>258831</v>
      </c>
      <c r="V326" s="5">
        <f t="shared" si="49"/>
        <v>43953</v>
      </c>
      <c r="W326" s="5"/>
      <c r="X326" s="16">
        <v>189043</v>
      </c>
      <c r="Y326" s="5"/>
      <c r="Z326" s="5"/>
      <c r="AA326" s="5">
        <f t="shared" si="50"/>
        <v>189043</v>
      </c>
      <c r="AB326" s="33"/>
      <c r="AC326" s="33"/>
      <c r="AD326" s="33"/>
      <c r="AE326" s="33"/>
    </row>
    <row r="327" spans="1:31" x14ac:dyDescent="0.25">
      <c r="A327" s="3"/>
      <c r="B327" s="3"/>
      <c r="C327" s="3"/>
      <c r="D327" s="3"/>
      <c r="E327" s="3"/>
      <c r="F327" s="3" t="s">
        <v>566</v>
      </c>
      <c r="G327" s="16">
        <v>105363</v>
      </c>
      <c r="H327" s="16">
        <v>140340</v>
      </c>
      <c r="I327" s="16"/>
      <c r="J327" s="16">
        <v>40898</v>
      </c>
      <c r="K327" s="16"/>
      <c r="L327" s="16">
        <f>49768+0+51417</f>
        <v>101185</v>
      </c>
      <c r="M327" s="16">
        <f>51419</f>
        <v>51419</v>
      </c>
      <c r="N327" s="16">
        <f t="shared" si="52"/>
        <v>333842</v>
      </c>
      <c r="O327" s="16">
        <v>53466</v>
      </c>
      <c r="P327" s="16">
        <v>22409</v>
      </c>
      <c r="Q327" s="16">
        <v>24059</v>
      </c>
      <c r="R327" s="16">
        <v>25709</v>
      </c>
      <c r="S327" s="16">
        <f>25709+25709+25709</f>
        <v>77127</v>
      </c>
      <c r="T327" s="16">
        <f>25709+25709+25709</f>
        <v>77127</v>
      </c>
      <c r="U327" s="16">
        <f t="shared" si="51"/>
        <v>279897</v>
      </c>
      <c r="V327" s="5">
        <f t="shared" si="49"/>
        <v>51418</v>
      </c>
      <c r="W327" s="5"/>
      <c r="X327" s="16">
        <v>90060</v>
      </c>
      <c r="Y327" s="5"/>
      <c r="Z327" s="5"/>
      <c r="AA327" s="5">
        <f t="shared" si="50"/>
        <v>90060</v>
      </c>
      <c r="AB327" s="33"/>
      <c r="AC327" s="33"/>
      <c r="AD327" s="33"/>
      <c r="AE327" s="33"/>
    </row>
    <row r="328" spans="1:31" hidden="1" x14ac:dyDescent="0.25">
      <c r="A328" s="3"/>
      <c r="B328" s="3"/>
      <c r="C328" s="3"/>
      <c r="D328" s="3"/>
      <c r="E328" s="3"/>
      <c r="F328" s="3" t="s">
        <v>681</v>
      </c>
      <c r="G328" s="16"/>
      <c r="H328" s="16"/>
      <c r="I328" s="16"/>
      <c r="J328" s="16"/>
      <c r="K328" s="16"/>
      <c r="L328" s="16"/>
      <c r="M328" s="16"/>
      <c r="N328" s="16">
        <f t="shared" si="52"/>
        <v>0</v>
      </c>
      <c r="O328" s="16"/>
      <c r="P328" s="16"/>
      <c r="Q328" s="16"/>
      <c r="R328" s="16"/>
      <c r="S328" s="16"/>
      <c r="T328" s="16"/>
      <c r="U328" s="16">
        <f t="shared" si="51"/>
        <v>0</v>
      </c>
      <c r="V328" s="5"/>
      <c r="W328" s="5"/>
      <c r="X328" s="16"/>
      <c r="Y328" s="5"/>
      <c r="Z328" s="5"/>
      <c r="AA328" s="5">
        <f t="shared" si="50"/>
        <v>0</v>
      </c>
      <c r="AB328" s="33"/>
      <c r="AC328" s="33"/>
      <c r="AD328" s="33"/>
      <c r="AE328" s="33"/>
    </row>
    <row r="329" spans="1:31" hidden="1" x14ac:dyDescent="0.25">
      <c r="A329" s="3">
        <v>2</v>
      </c>
      <c r="B329" s="3">
        <v>1</v>
      </c>
      <c r="C329" s="3">
        <v>6</v>
      </c>
      <c r="D329" s="3">
        <v>6</v>
      </c>
      <c r="E329" s="3"/>
      <c r="F329" s="3" t="s">
        <v>189</v>
      </c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5"/>
      <c r="W329" s="5"/>
      <c r="X329" s="3"/>
      <c r="Y329" s="5"/>
      <c r="Z329" s="5"/>
      <c r="AA329" s="5"/>
      <c r="AB329" s="33"/>
      <c r="AC329" s="33"/>
      <c r="AD329" s="33"/>
      <c r="AE329" s="33"/>
    </row>
    <row r="330" spans="1:31" hidden="1" x14ac:dyDescent="0.25">
      <c r="A330" s="3">
        <v>2</v>
      </c>
      <c r="B330" s="3">
        <v>1</v>
      </c>
      <c r="C330" s="3">
        <v>7</v>
      </c>
      <c r="D330" s="3"/>
      <c r="E330" s="3"/>
      <c r="F330" s="4" t="s">
        <v>53</v>
      </c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5"/>
      <c r="W330" s="5"/>
      <c r="X330" s="4"/>
      <c r="Y330" s="5"/>
      <c r="Z330" s="5"/>
      <c r="AA330" s="5"/>
      <c r="AB330" s="33"/>
      <c r="AC330" s="33"/>
      <c r="AD330" s="33"/>
      <c r="AE330" s="33"/>
    </row>
    <row r="331" spans="1:31" hidden="1" x14ac:dyDescent="0.25">
      <c r="A331" s="3">
        <v>2</v>
      </c>
      <c r="B331" s="3">
        <v>1</v>
      </c>
      <c r="C331" s="3">
        <v>7</v>
      </c>
      <c r="D331" s="3">
        <v>1</v>
      </c>
      <c r="E331" s="3"/>
      <c r="F331" s="3" t="s">
        <v>190</v>
      </c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5"/>
      <c r="W331" s="5"/>
      <c r="X331" s="3"/>
      <c r="Y331" s="5"/>
      <c r="Z331" s="5"/>
      <c r="AA331" s="5"/>
      <c r="AB331" s="33"/>
      <c r="AC331" s="33"/>
      <c r="AD331" s="33"/>
      <c r="AE331" s="33"/>
    </row>
    <row r="332" spans="1:31" hidden="1" x14ac:dyDescent="0.25">
      <c r="A332" s="3">
        <v>2</v>
      </c>
      <c r="B332" s="3">
        <v>1</v>
      </c>
      <c r="C332" s="3">
        <v>7</v>
      </c>
      <c r="D332" s="3">
        <v>2</v>
      </c>
      <c r="E332" s="3"/>
      <c r="F332" s="3" t="s">
        <v>191</v>
      </c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5"/>
      <c r="W332" s="5"/>
      <c r="X332" s="3"/>
      <c r="Y332" s="5"/>
      <c r="Z332" s="5"/>
      <c r="AA332" s="5"/>
      <c r="AB332" s="33"/>
      <c r="AC332" s="33"/>
      <c r="AD332" s="33"/>
      <c r="AE332" s="33"/>
    </row>
    <row r="333" spans="1:31" hidden="1" x14ac:dyDescent="0.25">
      <c r="A333" s="3">
        <v>2</v>
      </c>
      <c r="B333" s="3">
        <v>1</v>
      </c>
      <c r="C333" s="3">
        <v>7</v>
      </c>
      <c r="D333" s="3">
        <v>9</v>
      </c>
      <c r="E333" s="3"/>
      <c r="F333" s="3" t="s">
        <v>192</v>
      </c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5"/>
      <c r="W333" s="5"/>
      <c r="X333" s="3"/>
      <c r="Y333" s="5"/>
      <c r="Z333" s="5"/>
      <c r="AA333" s="5"/>
      <c r="AB333" s="33"/>
      <c r="AC333" s="33"/>
      <c r="AD333" s="33"/>
      <c r="AE333" s="33"/>
    </row>
    <row r="334" spans="1:31" hidden="1" x14ac:dyDescent="0.25">
      <c r="A334" s="3">
        <v>2</v>
      </c>
      <c r="B334" s="3">
        <v>1</v>
      </c>
      <c r="C334" s="3">
        <v>9</v>
      </c>
      <c r="D334" s="3"/>
      <c r="E334" s="3"/>
      <c r="F334" s="4" t="s">
        <v>54</v>
      </c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5"/>
      <c r="W334" s="5"/>
      <c r="X334" s="4"/>
      <c r="Y334" s="5"/>
      <c r="Z334" s="5"/>
      <c r="AA334" s="5"/>
      <c r="AB334" s="33"/>
      <c r="AC334" s="33"/>
      <c r="AD334" s="33"/>
      <c r="AE334" s="33"/>
    </row>
    <row r="335" spans="1:31" hidden="1" x14ac:dyDescent="0.25">
      <c r="A335" s="3">
        <v>2</v>
      </c>
      <c r="B335" s="3">
        <v>1</v>
      </c>
      <c r="C335" s="3">
        <v>9</v>
      </c>
      <c r="D335" s="3">
        <v>1</v>
      </c>
      <c r="E335" s="3"/>
      <c r="F335" s="3" t="s">
        <v>193</v>
      </c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5"/>
      <c r="W335" s="5"/>
      <c r="X335" s="3"/>
      <c r="Y335" s="5"/>
      <c r="Z335" s="5"/>
      <c r="AA335" s="5"/>
      <c r="AB335" s="33"/>
      <c r="AC335" s="33"/>
      <c r="AD335" s="33"/>
      <c r="AE335" s="33"/>
    </row>
    <row r="336" spans="1:31" hidden="1" x14ac:dyDescent="0.25">
      <c r="A336" s="3">
        <v>2</v>
      </c>
      <c r="B336" s="3">
        <v>1</v>
      </c>
      <c r="C336" s="3">
        <v>9</v>
      </c>
      <c r="D336" s="3">
        <v>2</v>
      </c>
      <c r="E336" s="3"/>
      <c r="F336" s="3" t="s">
        <v>194</v>
      </c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5"/>
      <c r="W336" s="5"/>
      <c r="X336" s="3"/>
      <c r="Y336" s="5"/>
      <c r="Z336" s="5"/>
      <c r="AA336" s="5"/>
      <c r="AB336" s="33"/>
      <c r="AC336" s="33"/>
      <c r="AD336" s="33"/>
      <c r="AE336" s="33"/>
    </row>
    <row r="337" spans="1:31" hidden="1" x14ac:dyDescent="0.25">
      <c r="A337" s="3">
        <v>2</v>
      </c>
      <c r="B337" s="3">
        <v>1</v>
      </c>
      <c r="C337" s="3">
        <v>9</v>
      </c>
      <c r="D337" s="3">
        <v>9</v>
      </c>
      <c r="E337" s="3"/>
      <c r="F337" s="3" t="s">
        <v>195</v>
      </c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5"/>
      <c r="W337" s="5"/>
      <c r="X337" s="3"/>
      <c r="Y337" s="5"/>
      <c r="Z337" s="5"/>
      <c r="AA337" s="5"/>
      <c r="AB337" s="33"/>
      <c r="AC337" s="33"/>
      <c r="AD337" s="33"/>
      <c r="AE337" s="33"/>
    </row>
    <row r="338" spans="1:31" hidden="1" x14ac:dyDescent="0.25">
      <c r="A338" s="1">
        <v>2</v>
      </c>
      <c r="B338" s="1">
        <v>2</v>
      </c>
      <c r="C338" s="1"/>
      <c r="D338" s="1"/>
      <c r="E338" s="1"/>
      <c r="F338" s="2" t="s">
        <v>196</v>
      </c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5"/>
      <c r="W338" s="5"/>
      <c r="X338" s="2"/>
      <c r="Y338" s="5"/>
      <c r="Z338" s="5"/>
      <c r="AA338" s="5"/>
      <c r="AB338" s="33"/>
      <c r="AC338" s="33"/>
      <c r="AD338" s="33"/>
      <c r="AE338" s="33"/>
    </row>
    <row r="339" spans="1:31" hidden="1" x14ac:dyDescent="0.25">
      <c r="A339" s="3">
        <v>2</v>
      </c>
      <c r="B339" s="3">
        <v>2</v>
      </c>
      <c r="C339" s="3">
        <v>1</v>
      </c>
      <c r="D339" s="3"/>
      <c r="E339" s="3"/>
      <c r="F339" s="4" t="s">
        <v>58</v>
      </c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5"/>
      <c r="W339" s="5"/>
      <c r="X339" s="4"/>
      <c r="Y339" s="5"/>
      <c r="Z339" s="5"/>
      <c r="AA339" s="5"/>
      <c r="AB339" s="33"/>
      <c r="AC339" s="33"/>
      <c r="AD339" s="33"/>
      <c r="AE339" s="33"/>
    </row>
    <row r="340" spans="1:31" hidden="1" x14ac:dyDescent="0.25">
      <c r="A340" s="3">
        <v>2</v>
      </c>
      <c r="B340" s="3">
        <v>2</v>
      </c>
      <c r="C340" s="3">
        <v>1</v>
      </c>
      <c r="D340" s="3">
        <v>1</v>
      </c>
      <c r="E340" s="3"/>
      <c r="F340" s="3" t="s">
        <v>197</v>
      </c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5"/>
      <c r="W340" s="5"/>
      <c r="X340" s="3"/>
      <c r="Y340" s="5"/>
      <c r="Z340" s="5"/>
      <c r="AA340" s="5"/>
      <c r="AB340" s="33"/>
      <c r="AC340" s="33"/>
      <c r="AD340" s="33"/>
      <c r="AE340" s="33"/>
    </row>
    <row r="341" spans="1:31" ht="24" hidden="1" x14ac:dyDescent="0.25">
      <c r="A341" s="3">
        <v>2</v>
      </c>
      <c r="B341" s="3">
        <v>2</v>
      </c>
      <c r="C341" s="3">
        <v>1</v>
      </c>
      <c r="D341" s="3">
        <v>2</v>
      </c>
      <c r="E341" s="3"/>
      <c r="F341" s="3" t="s">
        <v>198</v>
      </c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5"/>
      <c r="W341" s="5"/>
      <c r="X341" s="3"/>
      <c r="Y341" s="5"/>
      <c r="Z341" s="5"/>
      <c r="AA341" s="5"/>
      <c r="AB341" s="33"/>
      <c r="AC341" s="33"/>
      <c r="AD341" s="33"/>
      <c r="AE341" s="33"/>
    </row>
    <row r="342" spans="1:31" hidden="1" x14ac:dyDescent="0.25">
      <c r="A342" s="3">
        <v>2</v>
      </c>
      <c r="B342" s="3">
        <v>2</v>
      </c>
      <c r="C342" s="3">
        <v>2</v>
      </c>
      <c r="D342" s="3"/>
      <c r="E342" s="3"/>
      <c r="F342" s="4" t="s">
        <v>60</v>
      </c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5"/>
      <c r="W342" s="5"/>
      <c r="X342" s="4"/>
      <c r="Y342" s="5"/>
      <c r="Z342" s="5"/>
      <c r="AA342" s="5"/>
      <c r="AB342" s="33"/>
      <c r="AC342" s="33"/>
      <c r="AD342" s="33"/>
      <c r="AE342" s="33"/>
    </row>
    <row r="343" spans="1:31" hidden="1" x14ac:dyDescent="0.25">
      <c r="A343" s="3">
        <v>2</v>
      </c>
      <c r="B343" s="3">
        <v>2</v>
      </c>
      <c r="C343" s="3">
        <v>2</v>
      </c>
      <c r="D343" s="3">
        <v>1</v>
      </c>
      <c r="E343" s="3"/>
      <c r="F343" s="3" t="s">
        <v>199</v>
      </c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5"/>
      <c r="W343" s="5"/>
      <c r="X343" s="3"/>
      <c r="Y343" s="5"/>
      <c r="Z343" s="5"/>
      <c r="AA343" s="5"/>
      <c r="AB343" s="33"/>
      <c r="AC343" s="33"/>
      <c r="AD343" s="33"/>
      <c r="AE343" s="33"/>
    </row>
    <row r="344" spans="1:31" ht="24" hidden="1" x14ac:dyDescent="0.25">
      <c r="A344" s="3">
        <v>2</v>
      </c>
      <c r="B344" s="3">
        <v>2</v>
      </c>
      <c r="C344" s="3">
        <v>2</v>
      </c>
      <c r="D344" s="3">
        <v>2</v>
      </c>
      <c r="E344" s="3"/>
      <c r="F344" s="3" t="s">
        <v>200</v>
      </c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5"/>
      <c r="W344" s="5"/>
      <c r="X344" s="3"/>
      <c r="Y344" s="5"/>
      <c r="Z344" s="5"/>
      <c r="AA344" s="5"/>
      <c r="AB344" s="33"/>
      <c r="AC344" s="33"/>
      <c r="AD344" s="33"/>
      <c r="AE344" s="33"/>
    </row>
    <row r="345" spans="1:31" hidden="1" x14ac:dyDescent="0.25">
      <c r="A345" s="3">
        <v>2</v>
      </c>
      <c r="B345" s="3">
        <v>2</v>
      </c>
      <c r="C345" s="3">
        <v>2</v>
      </c>
      <c r="D345" s="3">
        <v>9</v>
      </c>
      <c r="E345" s="3"/>
      <c r="F345" s="3" t="s">
        <v>201</v>
      </c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5"/>
      <c r="W345" s="5"/>
      <c r="X345" s="3"/>
      <c r="Y345" s="5"/>
      <c r="Z345" s="5"/>
      <c r="AA345" s="5"/>
      <c r="AB345" s="33"/>
      <c r="AC345" s="33"/>
      <c r="AD345" s="33"/>
      <c r="AE345" s="33"/>
    </row>
    <row r="346" spans="1:31" hidden="1" x14ac:dyDescent="0.25">
      <c r="A346" s="3">
        <v>2</v>
      </c>
      <c r="B346" s="3">
        <v>2</v>
      </c>
      <c r="C346" s="3">
        <v>3</v>
      </c>
      <c r="D346" s="3"/>
      <c r="E346" s="3"/>
      <c r="F346" s="4" t="s">
        <v>62</v>
      </c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5"/>
      <c r="W346" s="5"/>
      <c r="X346" s="4"/>
      <c r="Y346" s="5"/>
      <c r="Z346" s="5"/>
      <c r="AA346" s="5"/>
      <c r="AB346" s="33"/>
      <c r="AC346" s="33"/>
      <c r="AD346" s="33"/>
      <c r="AE346" s="33"/>
    </row>
    <row r="347" spans="1:31" ht="24" hidden="1" x14ac:dyDescent="0.25">
      <c r="A347" s="3">
        <v>2</v>
      </c>
      <c r="B347" s="3">
        <v>2</v>
      </c>
      <c r="C347" s="3">
        <v>3</v>
      </c>
      <c r="D347" s="3">
        <v>1</v>
      </c>
      <c r="E347" s="3"/>
      <c r="F347" s="3" t="s">
        <v>202</v>
      </c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5"/>
      <c r="W347" s="5"/>
      <c r="X347" s="3"/>
      <c r="Y347" s="5"/>
      <c r="Z347" s="5"/>
      <c r="AA347" s="5"/>
      <c r="AB347" s="33"/>
      <c r="AC347" s="33"/>
      <c r="AD347" s="33"/>
      <c r="AE347" s="33"/>
    </row>
    <row r="348" spans="1:31" ht="24" hidden="1" x14ac:dyDescent="0.25">
      <c r="A348" s="3">
        <v>2</v>
      </c>
      <c r="B348" s="3">
        <v>2</v>
      </c>
      <c r="C348" s="3">
        <v>3</v>
      </c>
      <c r="D348" s="3">
        <v>2</v>
      </c>
      <c r="E348" s="3"/>
      <c r="F348" s="3" t="s">
        <v>203</v>
      </c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5"/>
      <c r="W348" s="5"/>
      <c r="X348" s="3"/>
      <c r="Y348" s="5"/>
      <c r="Z348" s="5"/>
      <c r="AA348" s="5"/>
      <c r="AB348" s="33"/>
      <c r="AC348" s="33"/>
      <c r="AD348" s="33"/>
      <c r="AE348" s="33"/>
    </row>
    <row r="349" spans="1:31" ht="24" hidden="1" x14ac:dyDescent="0.25">
      <c r="A349" s="3">
        <v>2</v>
      </c>
      <c r="B349" s="3">
        <v>2</v>
      </c>
      <c r="C349" s="3">
        <v>3</v>
      </c>
      <c r="D349" s="3">
        <v>3</v>
      </c>
      <c r="E349" s="3"/>
      <c r="F349" s="3" t="s">
        <v>204</v>
      </c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5"/>
      <c r="W349" s="5"/>
      <c r="X349" s="3"/>
      <c r="Y349" s="5"/>
      <c r="Z349" s="5"/>
      <c r="AA349" s="5"/>
      <c r="AB349" s="33"/>
      <c r="AC349" s="33"/>
      <c r="AD349" s="33"/>
      <c r="AE349" s="33"/>
    </row>
    <row r="350" spans="1:31" ht="24" hidden="1" x14ac:dyDescent="0.25">
      <c r="A350" s="3">
        <v>2</v>
      </c>
      <c r="B350" s="3">
        <v>2</v>
      </c>
      <c r="C350" s="3">
        <v>3</v>
      </c>
      <c r="D350" s="3">
        <v>4</v>
      </c>
      <c r="E350" s="3"/>
      <c r="F350" s="3" t="s">
        <v>205</v>
      </c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5"/>
      <c r="W350" s="5"/>
      <c r="X350" s="3"/>
      <c r="Y350" s="5"/>
      <c r="Z350" s="5"/>
      <c r="AA350" s="5"/>
      <c r="AB350" s="33"/>
      <c r="AC350" s="33"/>
      <c r="AD350" s="33"/>
      <c r="AE350" s="33"/>
    </row>
    <row r="351" spans="1:31" hidden="1" x14ac:dyDescent="0.25">
      <c r="A351" s="3">
        <v>2</v>
      </c>
      <c r="B351" s="3">
        <v>2</v>
      </c>
      <c r="C351" s="3">
        <v>3</v>
      </c>
      <c r="D351" s="3">
        <v>5</v>
      </c>
      <c r="E351" s="3"/>
      <c r="F351" s="3" t="s">
        <v>206</v>
      </c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5"/>
      <c r="W351" s="5"/>
      <c r="X351" s="3"/>
      <c r="Y351" s="5"/>
      <c r="Z351" s="5"/>
      <c r="AA351" s="5"/>
      <c r="AB351" s="33"/>
      <c r="AC351" s="33"/>
      <c r="AD351" s="33"/>
      <c r="AE351" s="33"/>
    </row>
    <row r="352" spans="1:31" hidden="1" x14ac:dyDescent="0.25">
      <c r="A352" s="3">
        <v>2</v>
      </c>
      <c r="B352" s="3">
        <v>2</v>
      </c>
      <c r="C352" s="3">
        <v>4</v>
      </c>
      <c r="D352" s="3"/>
      <c r="E352" s="3"/>
      <c r="F352" s="4" t="s">
        <v>64</v>
      </c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5"/>
      <c r="W352" s="5"/>
      <c r="X352" s="4"/>
      <c r="Y352" s="5"/>
      <c r="Z352" s="5"/>
      <c r="AA352" s="5"/>
      <c r="AB352" s="33"/>
      <c r="AC352" s="33"/>
      <c r="AD352" s="33"/>
      <c r="AE352" s="33"/>
    </row>
    <row r="353" spans="1:31" hidden="1" x14ac:dyDescent="0.25">
      <c r="A353" s="3">
        <v>2</v>
      </c>
      <c r="B353" s="3">
        <v>2</v>
      </c>
      <c r="C353" s="3">
        <v>4</v>
      </c>
      <c r="D353" s="3">
        <v>1</v>
      </c>
      <c r="E353" s="3"/>
      <c r="F353" s="3" t="s">
        <v>207</v>
      </c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5"/>
      <c r="W353" s="5"/>
      <c r="X353" s="3"/>
      <c r="Y353" s="5"/>
      <c r="Z353" s="5"/>
      <c r="AA353" s="5"/>
      <c r="AB353" s="33"/>
      <c r="AC353" s="33"/>
      <c r="AD353" s="33"/>
      <c r="AE353" s="33"/>
    </row>
    <row r="354" spans="1:31" hidden="1" x14ac:dyDescent="0.25">
      <c r="A354" s="3">
        <v>2</v>
      </c>
      <c r="B354" s="3">
        <v>2</v>
      </c>
      <c r="C354" s="3">
        <v>4</v>
      </c>
      <c r="D354" s="3">
        <v>2</v>
      </c>
      <c r="E354" s="3"/>
      <c r="F354" s="3" t="s">
        <v>208</v>
      </c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5"/>
      <c r="W354" s="5"/>
      <c r="X354" s="3"/>
      <c r="Y354" s="5"/>
      <c r="Z354" s="5"/>
      <c r="AA354" s="5"/>
      <c r="AB354" s="33"/>
      <c r="AC354" s="33"/>
      <c r="AD354" s="33"/>
      <c r="AE354" s="33"/>
    </row>
    <row r="355" spans="1:31" hidden="1" x14ac:dyDescent="0.25">
      <c r="A355" s="3">
        <v>2</v>
      </c>
      <c r="B355" s="3">
        <v>2</v>
      </c>
      <c r="C355" s="3">
        <v>4</v>
      </c>
      <c r="D355" s="3">
        <v>9</v>
      </c>
      <c r="E355" s="3"/>
      <c r="F355" s="3" t="s">
        <v>209</v>
      </c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5"/>
      <c r="W355" s="5"/>
      <c r="X355" s="3"/>
      <c r="Y355" s="5"/>
      <c r="Z355" s="5"/>
      <c r="AA355" s="5"/>
      <c r="AB355" s="33"/>
      <c r="AC355" s="33"/>
      <c r="AD355" s="33"/>
      <c r="AE355" s="33"/>
    </row>
    <row r="356" spans="1:31" ht="24" hidden="1" x14ac:dyDescent="0.25">
      <c r="A356" s="3">
        <v>2</v>
      </c>
      <c r="B356" s="3">
        <v>2</v>
      </c>
      <c r="C356" s="3">
        <v>5</v>
      </c>
      <c r="D356" s="3"/>
      <c r="E356" s="3"/>
      <c r="F356" s="4" t="s">
        <v>210</v>
      </c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5"/>
      <c r="W356" s="5"/>
      <c r="X356" s="4"/>
      <c r="Y356" s="5"/>
      <c r="Z356" s="5"/>
      <c r="AA356" s="5"/>
      <c r="AB356" s="33"/>
      <c r="AC356" s="33"/>
      <c r="AD356" s="33"/>
      <c r="AE356" s="33"/>
    </row>
    <row r="357" spans="1:31" hidden="1" x14ac:dyDescent="0.25">
      <c r="A357" s="3">
        <v>2</v>
      </c>
      <c r="B357" s="3">
        <v>2</v>
      </c>
      <c r="C357" s="3">
        <v>5</v>
      </c>
      <c r="D357" s="3">
        <v>1</v>
      </c>
      <c r="E357" s="3"/>
      <c r="F357" s="3" t="s">
        <v>211</v>
      </c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5"/>
      <c r="W357" s="5"/>
      <c r="X357" s="3"/>
      <c r="Y357" s="5"/>
      <c r="Z357" s="5"/>
      <c r="AA357" s="5"/>
      <c r="AB357" s="33"/>
      <c r="AC357" s="33"/>
      <c r="AD357" s="33"/>
      <c r="AE357" s="33"/>
    </row>
    <row r="358" spans="1:31" hidden="1" x14ac:dyDescent="0.25">
      <c r="A358" s="3">
        <v>2</v>
      </c>
      <c r="B358" s="3">
        <v>2</v>
      </c>
      <c r="C358" s="3">
        <v>5</v>
      </c>
      <c r="D358" s="3">
        <v>2</v>
      </c>
      <c r="E358" s="3"/>
      <c r="F358" s="3" t="s">
        <v>212</v>
      </c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5"/>
      <c r="W358" s="5"/>
      <c r="X358" s="3"/>
      <c r="Y358" s="5"/>
      <c r="Z358" s="5"/>
      <c r="AA358" s="5"/>
      <c r="AB358" s="33"/>
      <c r="AC358" s="33"/>
      <c r="AD358" s="33"/>
      <c r="AE358" s="33"/>
    </row>
    <row r="359" spans="1:31" hidden="1" x14ac:dyDescent="0.25">
      <c r="A359" s="3">
        <v>2</v>
      </c>
      <c r="B359" s="3">
        <v>2</v>
      </c>
      <c r="C359" s="3">
        <v>5</v>
      </c>
      <c r="D359" s="3">
        <v>3</v>
      </c>
      <c r="E359" s="3"/>
      <c r="F359" s="3" t="s">
        <v>213</v>
      </c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5"/>
      <c r="W359" s="5"/>
      <c r="X359" s="3"/>
      <c r="Y359" s="5"/>
      <c r="Z359" s="5"/>
      <c r="AA359" s="5"/>
      <c r="AB359" s="33"/>
      <c r="AC359" s="33"/>
      <c r="AD359" s="33"/>
      <c r="AE359" s="33"/>
    </row>
    <row r="360" spans="1:31" ht="24" hidden="1" x14ac:dyDescent="0.25">
      <c r="A360" s="3">
        <v>2</v>
      </c>
      <c r="B360" s="3">
        <v>2</v>
      </c>
      <c r="C360" s="3">
        <v>5</v>
      </c>
      <c r="D360" s="3">
        <v>4</v>
      </c>
      <c r="E360" s="3"/>
      <c r="F360" s="3" t="s">
        <v>214</v>
      </c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5"/>
      <c r="W360" s="5"/>
      <c r="X360" s="3"/>
      <c r="Y360" s="5"/>
      <c r="Z360" s="5"/>
      <c r="AA360" s="5"/>
      <c r="AB360" s="33"/>
      <c r="AC360" s="33"/>
      <c r="AD360" s="33"/>
      <c r="AE360" s="33"/>
    </row>
    <row r="361" spans="1:31" ht="24" hidden="1" x14ac:dyDescent="0.25">
      <c r="A361" s="3">
        <v>2</v>
      </c>
      <c r="B361" s="3">
        <v>2</v>
      </c>
      <c r="C361" s="3">
        <v>5</v>
      </c>
      <c r="D361" s="3">
        <v>5</v>
      </c>
      <c r="E361" s="3"/>
      <c r="F361" s="3" t="s">
        <v>215</v>
      </c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5"/>
      <c r="W361" s="5"/>
      <c r="X361" s="3"/>
      <c r="Y361" s="5"/>
      <c r="Z361" s="5"/>
      <c r="AA361" s="5"/>
      <c r="AB361" s="33"/>
      <c r="AC361" s="33"/>
      <c r="AD361" s="33"/>
      <c r="AE361" s="33"/>
    </row>
    <row r="362" spans="1:31" hidden="1" x14ac:dyDescent="0.25">
      <c r="A362" s="3">
        <v>2</v>
      </c>
      <c r="B362" s="3">
        <v>2</v>
      </c>
      <c r="C362" s="3">
        <v>5</v>
      </c>
      <c r="D362" s="3">
        <v>6</v>
      </c>
      <c r="E362" s="3"/>
      <c r="F362" s="3" t="s">
        <v>216</v>
      </c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5"/>
      <c r="W362" s="5"/>
      <c r="X362" s="3"/>
      <c r="Y362" s="5"/>
      <c r="Z362" s="5"/>
      <c r="AA362" s="5"/>
      <c r="AB362" s="33"/>
      <c r="AC362" s="33"/>
      <c r="AD362" s="33"/>
      <c r="AE362" s="33"/>
    </row>
    <row r="363" spans="1:31" hidden="1" x14ac:dyDescent="0.25">
      <c r="A363" s="3">
        <v>2</v>
      </c>
      <c r="B363" s="3">
        <v>2</v>
      </c>
      <c r="C363" s="3">
        <v>6</v>
      </c>
      <c r="D363" s="3"/>
      <c r="E363" s="3"/>
      <c r="F363" s="4" t="s">
        <v>217</v>
      </c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5"/>
      <c r="W363" s="5"/>
      <c r="X363" s="4"/>
      <c r="Y363" s="5"/>
      <c r="Z363" s="5"/>
      <c r="AA363" s="5"/>
      <c r="AB363" s="33"/>
      <c r="AC363" s="33"/>
      <c r="AD363" s="33"/>
      <c r="AE363" s="33"/>
    </row>
    <row r="364" spans="1:31" hidden="1" x14ac:dyDescent="0.25">
      <c r="A364" s="3">
        <v>2</v>
      </c>
      <c r="B364" s="3">
        <v>2</v>
      </c>
      <c r="C364" s="3">
        <v>6</v>
      </c>
      <c r="D364" s="3">
        <v>1</v>
      </c>
      <c r="E364" s="3"/>
      <c r="F364" s="3" t="s">
        <v>218</v>
      </c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5"/>
      <c r="W364" s="5"/>
      <c r="X364" s="3"/>
      <c r="Y364" s="5"/>
      <c r="Z364" s="5"/>
      <c r="AA364" s="5"/>
      <c r="AB364" s="33"/>
      <c r="AC364" s="33"/>
      <c r="AD364" s="33"/>
      <c r="AE364" s="33"/>
    </row>
    <row r="365" spans="1:31" hidden="1" x14ac:dyDescent="0.25">
      <c r="A365" s="3">
        <v>2</v>
      </c>
      <c r="B365" s="3">
        <v>2</v>
      </c>
      <c r="C365" s="3">
        <v>6</v>
      </c>
      <c r="D365" s="3">
        <v>2</v>
      </c>
      <c r="E365" s="3"/>
      <c r="F365" s="3" t="s">
        <v>219</v>
      </c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5"/>
      <c r="W365" s="5"/>
      <c r="X365" s="3"/>
      <c r="Y365" s="5"/>
      <c r="Z365" s="5"/>
      <c r="AA365" s="5"/>
      <c r="AB365" s="33"/>
      <c r="AC365" s="33"/>
      <c r="AD365" s="33"/>
      <c r="AE365" s="33"/>
    </row>
    <row r="366" spans="1:31" hidden="1" x14ac:dyDescent="0.25">
      <c r="A366" s="3">
        <v>2</v>
      </c>
      <c r="B366" s="3">
        <v>2</v>
      </c>
      <c r="C366" s="3">
        <v>6</v>
      </c>
      <c r="D366" s="3">
        <v>3</v>
      </c>
      <c r="E366" s="3"/>
      <c r="F366" s="3" t="s">
        <v>220</v>
      </c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5"/>
      <c r="W366" s="5"/>
      <c r="X366" s="3"/>
      <c r="Y366" s="5"/>
      <c r="Z366" s="5"/>
      <c r="AA366" s="5"/>
      <c r="AB366" s="33"/>
      <c r="AC366" s="33"/>
      <c r="AD366" s="33"/>
      <c r="AE366" s="33"/>
    </row>
    <row r="367" spans="1:31" hidden="1" x14ac:dyDescent="0.25">
      <c r="A367" s="3">
        <v>2</v>
      </c>
      <c r="B367" s="3">
        <v>2</v>
      </c>
      <c r="C367" s="3">
        <v>6</v>
      </c>
      <c r="D367" s="3">
        <v>9</v>
      </c>
      <c r="E367" s="3"/>
      <c r="F367" s="3" t="s">
        <v>221</v>
      </c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5"/>
      <c r="W367" s="5"/>
      <c r="X367" s="3"/>
      <c r="Y367" s="5"/>
      <c r="Z367" s="5"/>
      <c r="AA367" s="5"/>
      <c r="AB367" s="33"/>
      <c r="AC367" s="33"/>
      <c r="AD367" s="33"/>
      <c r="AE367" s="33"/>
    </row>
    <row r="368" spans="1:31" x14ac:dyDescent="0.25">
      <c r="A368" s="1">
        <v>3</v>
      </c>
      <c r="B368" s="1"/>
      <c r="C368" s="1"/>
      <c r="D368" s="1"/>
      <c r="E368" s="1"/>
      <c r="F368" s="1" t="s">
        <v>222</v>
      </c>
      <c r="G368" s="25">
        <f>+G369+G373+G403</f>
        <v>3363075.82</v>
      </c>
      <c r="H368" s="25">
        <f>+H369+H373+H403</f>
        <v>181999</v>
      </c>
      <c r="I368" s="25">
        <f>+I369+I373+I403</f>
        <v>0</v>
      </c>
      <c r="J368" s="25">
        <f>+J369+J373+J403</f>
        <v>0</v>
      </c>
      <c r="K368" s="25">
        <f>+K369+K373+K403</f>
        <v>0</v>
      </c>
      <c r="L368" s="25"/>
      <c r="M368" s="25"/>
      <c r="N368" s="25">
        <f>+N369+N373+N403</f>
        <v>910729</v>
      </c>
      <c r="O368" s="25">
        <f>+O369+O373+O403</f>
        <v>0</v>
      </c>
      <c r="P368" s="25">
        <f>+P369+P373+P403</f>
        <v>0</v>
      </c>
      <c r="Q368" s="25">
        <f>+Q369+Q373+Q403</f>
        <v>0</v>
      </c>
      <c r="R368" s="25">
        <f>+R369+R373+R403</f>
        <v>0</v>
      </c>
      <c r="S368" s="25"/>
      <c r="T368" s="25"/>
      <c r="U368" s="25">
        <f>+U369+U373+U403</f>
        <v>424830</v>
      </c>
      <c r="V368" s="25">
        <f>+V369+V373+V403</f>
        <v>13005629.82</v>
      </c>
      <c r="W368" s="25"/>
      <c r="X368" s="25">
        <f>+X369+X373+X403</f>
        <v>3225584.82</v>
      </c>
      <c r="Y368" s="25"/>
      <c r="Z368" s="25"/>
      <c r="AA368" s="25">
        <f>+AA369+AA373+AA403</f>
        <v>3514551.82</v>
      </c>
      <c r="AB368" s="33"/>
      <c r="AC368" s="33"/>
      <c r="AD368" s="33"/>
      <c r="AE368" s="33"/>
    </row>
    <row r="369" spans="1:31" x14ac:dyDescent="0.25">
      <c r="A369" s="2">
        <v>3</v>
      </c>
      <c r="B369" s="2">
        <v>1</v>
      </c>
      <c r="C369" s="2"/>
      <c r="D369" s="2"/>
      <c r="E369" s="2"/>
      <c r="F369" s="2" t="s">
        <v>223</v>
      </c>
      <c r="G369" s="6">
        <v>0</v>
      </c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5"/>
      <c r="W369" s="5"/>
      <c r="X369" s="6">
        <v>0</v>
      </c>
      <c r="Y369" s="5"/>
      <c r="Z369" s="5"/>
      <c r="AA369" s="5"/>
      <c r="AB369" s="33"/>
      <c r="AC369" s="33"/>
      <c r="AD369" s="33"/>
      <c r="AE369" s="33"/>
    </row>
    <row r="370" spans="1:31" hidden="1" x14ac:dyDescent="0.25">
      <c r="A370" s="3">
        <v>3</v>
      </c>
      <c r="B370" s="3">
        <v>1</v>
      </c>
      <c r="C370" s="3">
        <v>1</v>
      </c>
      <c r="D370" s="3"/>
      <c r="E370" s="3"/>
      <c r="F370" s="4" t="s">
        <v>28</v>
      </c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5"/>
      <c r="W370" s="5"/>
      <c r="X370" s="4"/>
      <c r="Y370" s="5"/>
      <c r="Z370" s="5"/>
      <c r="AA370" s="5"/>
      <c r="AB370" s="33"/>
      <c r="AC370" s="33"/>
      <c r="AD370" s="33"/>
      <c r="AE370" s="33"/>
    </row>
    <row r="371" spans="1:31" hidden="1" x14ac:dyDescent="0.25">
      <c r="A371" s="3">
        <v>3</v>
      </c>
      <c r="B371" s="3">
        <v>1</v>
      </c>
      <c r="C371" s="3">
        <v>2</v>
      </c>
      <c r="D371" s="3"/>
      <c r="E371" s="3"/>
      <c r="F371" s="4" t="s">
        <v>70</v>
      </c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5"/>
      <c r="W371" s="5"/>
      <c r="X371" s="4"/>
      <c r="Y371" s="5"/>
      <c r="Z371" s="5"/>
      <c r="AA371" s="5"/>
      <c r="AB371" s="33"/>
      <c r="AC371" s="33"/>
      <c r="AD371" s="33"/>
      <c r="AE371" s="33"/>
    </row>
    <row r="372" spans="1:31" hidden="1" x14ac:dyDescent="0.25">
      <c r="A372" s="3">
        <v>3</v>
      </c>
      <c r="B372" s="3">
        <v>1</v>
      </c>
      <c r="C372" s="3">
        <v>3</v>
      </c>
      <c r="D372" s="3"/>
      <c r="E372" s="3"/>
      <c r="F372" s="4" t="s">
        <v>77</v>
      </c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5"/>
      <c r="W372" s="5"/>
      <c r="X372" s="4"/>
      <c r="Y372" s="5"/>
      <c r="Z372" s="5"/>
      <c r="AA372" s="5"/>
      <c r="AB372" s="33"/>
      <c r="AC372" s="33"/>
      <c r="AD372" s="33"/>
      <c r="AE372" s="33"/>
    </row>
    <row r="373" spans="1:31" x14ac:dyDescent="0.25">
      <c r="A373" s="2">
        <v>3</v>
      </c>
      <c r="B373" s="2">
        <v>2</v>
      </c>
      <c r="C373" s="2"/>
      <c r="D373" s="2"/>
      <c r="E373" s="2"/>
      <c r="F373" s="2" t="s">
        <v>224</v>
      </c>
      <c r="G373" s="24">
        <f>+G374+G375</f>
        <v>-23232.179999999993</v>
      </c>
      <c r="H373" s="24">
        <f>+H374+H375</f>
        <v>0</v>
      </c>
      <c r="I373" s="24">
        <f>+I374+I375</f>
        <v>0</v>
      </c>
      <c r="J373" s="24">
        <f>+J374+J375</f>
        <v>0</v>
      </c>
      <c r="K373" s="24">
        <f>+K374+K375</f>
        <v>0</v>
      </c>
      <c r="L373" s="24"/>
      <c r="M373" s="24"/>
      <c r="N373" s="24">
        <f>+N374+N375</f>
        <v>0</v>
      </c>
      <c r="O373" s="24">
        <f>+O374+O375</f>
        <v>0</v>
      </c>
      <c r="P373" s="24">
        <f>+P374+P375</f>
        <v>0</v>
      </c>
      <c r="Q373" s="24">
        <f>+Q374+Q375</f>
        <v>0</v>
      </c>
      <c r="R373" s="24">
        <f>+R374+R375</f>
        <v>0</v>
      </c>
      <c r="S373" s="24"/>
      <c r="T373" s="24"/>
      <c r="U373" s="24">
        <f>+U374+U375</f>
        <v>0</v>
      </c>
      <c r="V373" s="24">
        <f>+V374+V375</f>
        <v>9632813.8200000003</v>
      </c>
      <c r="W373" s="24"/>
      <c r="X373" s="24">
        <f>+X374+X375</f>
        <v>-23232.179999999993</v>
      </c>
      <c r="Y373" s="24"/>
      <c r="Z373" s="24"/>
      <c r="AA373" s="24">
        <f>+AA374+AA375</f>
        <v>265734.82</v>
      </c>
      <c r="AB373" s="33"/>
      <c r="AC373" s="33"/>
      <c r="AD373" s="33"/>
      <c r="AE373" s="33"/>
    </row>
    <row r="374" spans="1:31" x14ac:dyDescent="0.25">
      <c r="A374" s="3">
        <v>3</v>
      </c>
      <c r="B374" s="3">
        <v>2</v>
      </c>
      <c r="C374" s="3">
        <v>1</v>
      </c>
      <c r="D374" s="3"/>
      <c r="E374" s="3"/>
      <c r="F374" s="4" t="s">
        <v>225</v>
      </c>
      <c r="G374" s="5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5">
        <f>+V408-V503</f>
        <v>9923488</v>
      </c>
      <c r="W374" s="5"/>
      <c r="X374" s="5">
        <v>-288967</v>
      </c>
      <c r="Y374" s="5"/>
      <c r="Z374" s="5"/>
      <c r="AA374" s="5">
        <v>0</v>
      </c>
      <c r="AB374" s="33"/>
      <c r="AC374" s="33"/>
      <c r="AD374" s="33"/>
      <c r="AE374" s="33"/>
    </row>
    <row r="375" spans="1:31" x14ac:dyDescent="0.25">
      <c r="A375" s="8">
        <v>3</v>
      </c>
      <c r="B375" s="8">
        <v>2</v>
      </c>
      <c r="C375" s="8">
        <v>2</v>
      </c>
      <c r="D375" s="8"/>
      <c r="E375" s="8"/>
      <c r="F375" s="11" t="s">
        <v>71</v>
      </c>
      <c r="G375" s="7">
        <f>SUM(G376:G389)</f>
        <v>-23232.179999999993</v>
      </c>
      <c r="H375" s="7">
        <f>SUM(H376:H390)</f>
        <v>0</v>
      </c>
      <c r="I375" s="7">
        <f>SUM(I376:I390)</f>
        <v>0</v>
      </c>
      <c r="J375" s="7">
        <f>SUM(J376:J390)</f>
        <v>0</v>
      </c>
      <c r="K375" s="7">
        <f>SUM(K376:K390)</f>
        <v>0</v>
      </c>
      <c r="L375" s="7"/>
      <c r="M375" s="7"/>
      <c r="N375" s="7">
        <f>SUM(N376:N390)</f>
        <v>0</v>
      </c>
      <c r="O375" s="7">
        <f>SUM(O376:O390)</f>
        <v>0</v>
      </c>
      <c r="P375" s="7">
        <f>SUM(P376:P390)</f>
        <v>0</v>
      </c>
      <c r="Q375" s="7">
        <f>SUM(Q376:Q390)</f>
        <v>0</v>
      </c>
      <c r="R375" s="7">
        <f>SUM(R376:R390)</f>
        <v>0</v>
      </c>
      <c r="S375" s="7"/>
      <c r="T375" s="7"/>
      <c r="U375" s="7">
        <f>SUM(U376:U390)</f>
        <v>0</v>
      </c>
      <c r="V375" s="7">
        <f>SUM(V376:V390)</f>
        <v>-290674.18</v>
      </c>
      <c r="W375" s="7">
        <f>SUM(W376:W390)</f>
        <v>0</v>
      </c>
      <c r="X375" s="7">
        <f>SUM(X376:X390)</f>
        <v>265734.82</v>
      </c>
      <c r="Y375" s="7"/>
      <c r="Z375" s="7"/>
      <c r="AA375" s="7">
        <f>SUM(AA376:AA390)</f>
        <v>265734.82</v>
      </c>
      <c r="AB375" s="33"/>
      <c r="AC375" s="33"/>
      <c r="AD375" s="33"/>
      <c r="AE375" s="33"/>
    </row>
    <row r="376" spans="1:31" x14ac:dyDescent="0.25">
      <c r="A376" s="3"/>
      <c r="B376" s="3"/>
      <c r="C376" s="3"/>
      <c r="D376" s="3"/>
      <c r="E376" s="3"/>
      <c r="F376" s="3" t="s">
        <v>568</v>
      </c>
      <c r="G376" s="5">
        <v>171921</v>
      </c>
      <c r="H376" s="16">
        <v>0</v>
      </c>
      <c r="I376" s="16">
        <v>0</v>
      </c>
      <c r="J376" s="16">
        <v>0</v>
      </c>
      <c r="K376" s="16">
        <v>0</v>
      </c>
      <c r="L376" s="16"/>
      <c r="M376" s="16"/>
      <c r="N376" s="16">
        <v>0</v>
      </c>
      <c r="O376" s="16">
        <v>0</v>
      </c>
      <c r="P376" s="16">
        <v>0</v>
      </c>
      <c r="Q376" s="16">
        <v>0</v>
      </c>
      <c r="R376" s="16">
        <v>0</v>
      </c>
      <c r="S376" s="16"/>
      <c r="T376" s="16"/>
      <c r="U376" s="16">
        <v>0</v>
      </c>
      <c r="V376" s="5">
        <f t="shared" ref="V376:V390" si="53">G376+U376-N376</f>
        <v>171921</v>
      </c>
      <c r="W376" s="5"/>
      <c r="X376" s="5">
        <v>171921</v>
      </c>
      <c r="Y376" s="5"/>
      <c r="Z376" s="5"/>
      <c r="AA376" s="5">
        <f>X376+Z376-Y376</f>
        <v>171921</v>
      </c>
      <c r="AB376" s="33"/>
      <c r="AC376" s="33"/>
      <c r="AD376" s="33"/>
      <c r="AE376" s="33"/>
    </row>
    <row r="377" spans="1:31" x14ac:dyDescent="0.25">
      <c r="A377" s="3"/>
      <c r="B377" s="3"/>
      <c r="C377" s="3"/>
      <c r="D377" s="3"/>
      <c r="E377" s="3"/>
      <c r="F377" s="3" t="s">
        <v>568</v>
      </c>
      <c r="G377" s="5">
        <v>-15244</v>
      </c>
      <c r="H377" s="16">
        <v>0</v>
      </c>
      <c r="I377" s="16">
        <v>0</v>
      </c>
      <c r="J377" s="16">
        <v>0</v>
      </c>
      <c r="K377" s="16">
        <v>0</v>
      </c>
      <c r="L377" s="16"/>
      <c r="M377" s="16"/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/>
      <c r="T377" s="16"/>
      <c r="U377" s="16">
        <v>0</v>
      </c>
      <c r="V377" s="5">
        <f t="shared" si="53"/>
        <v>-15244</v>
      </c>
      <c r="W377" s="5"/>
      <c r="X377" s="5">
        <v>-15244</v>
      </c>
      <c r="Y377" s="5"/>
      <c r="Z377" s="5"/>
      <c r="AA377" s="5">
        <f t="shared" ref="AA377:AA388" si="54">X377+Z377-Y377</f>
        <v>-15244</v>
      </c>
      <c r="AB377" s="33"/>
      <c r="AC377" s="33"/>
      <c r="AD377" s="33"/>
      <c r="AE377" s="33"/>
    </row>
    <row r="378" spans="1:31" x14ac:dyDescent="0.25">
      <c r="A378" s="3"/>
      <c r="B378" s="3"/>
      <c r="C378" s="3"/>
      <c r="D378" s="3"/>
      <c r="E378" s="3"/>
      <c r="F378" s="3" t="s">
        <v>568</v>
      </c>
      <c r="G378" s="5">
        <v>167705</v>
      </c>
      <c r="H378" s="16">
        <v>0</v>
      </c>
      <c r="I378" s="16">
        <v>0</v>
      </c>
      <c r="J378" s="16">
        <v>0</v>
      </c>
      <c r="K378" s="16">
        <v>0</v>
      </c>
      <c r="L378" s="16"/>
      <c r="M378" s="16"/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/>
      <c r="T378" s="16"/>
      <c r="U378" s="16">
        <v>0</v>
      </c>
      <c r="V378" s="5">
        <f t="shared" si="53"/>
        <v>167705</v>
      </c>
      <c r="W378" s="5"/>
      <c r="X378" s="5">
        <v>167705</v>
      </c>
      <c r="Y378" s="5"/>
      <c r="Z378" s="5"/>
      <c r="AA378" s="5">
        <f t="shared" si="54"/>
        <v>167705</v>
      </c>
      <c r="AB378" s="33"/>
      <c r="AC378" s="33"/>
      <c r="AD378" s="33"/>
      <c r="AE378" s="33"/>
    </row>
    <row r="379" spans="1:31" x14ac:dyDescent="0.25">
      <c r="A379" s="3"/>
      <c r="B379" s="3"/>
      <c r="C379" s="3"/>
      <c r="D379" s="3"/>
      <c r="E379" s="3"/>
      <c r="F379" s="3" t="s">
        <v>569</v>
      </c>
      <c r="G379" s="5">
        <v>1158011</v>
      </c>
      <c r="H379" s="16">
        <v>0</v>
      </c>
      <c r="I379" s="16">
        <v>0</v>
      </c>
      <c r="J379" s="16">
        <v>0</v>
      </c>
      <c r="K379" s="16">
        <v>0</v>
      </c>
      <c r="L379" s="16"/>
      <c r="M379" s="16"/>
      <c r="N379" s="16">
        <v>0</v>
      </c>
      <c r="O379" s="16">
        <v>0</v>
      </c>
      <c r="P379" s="16">
        <v>0</v>
      </c>
      <c r="Q379" s="16">
        <v>0</v>
      </c>
      <c r="R379" s="16">
        <v>0</v>
      </c>
      <c r="S379" s="16"/>
      <c r="T379" s="16"/>
      <c r="U379" s="16">
        <v>0</v>
      </c>
      <c r="V379" s="5">
        <f t="shared" si="53"/>
        <v>1158011</v>
      </c>
      <c r="W379" s="5"/>
      <c r="X379" s="5">
        <v>1158011</v>
      </c>
      <c r="Y379" s="5"/>
      <c r="Z379" s="5"/>
      <c r="AA379" s="5">
        <f t="shared" si="54"/>
        <v>1158011</v>
      </c>
      <c r="AB379" s="33"/>
      <c r="AC379" s="33"/>
      <c r="AD379" s="33"/>
      <c r="AE379" s="33"/>
    </row>
    <row r="380" spans="1:31" x14ac:dyDescent="0.25">
      <c r="A380" s="3"/>
      <c r="B380" s="3"/>
      <c r="C380" s="3"/>
      <c r="D380" s="3"/>
      <c r="E380" s="3"/>
      <c r="F380" s="3" t="s">
        <v>570</v>
      </c>
      <c r="G380" s="5">
        <v>51255</v>
      </c>
      <c r="H380" s="16">
        <v>0</v>
      </c>
      <c r="I380" s="16">
        <v>0</v>
      </c>
      <c r="J380" s="16">
        <v>0</v>
      </c>
      <c r="K380" s="16">
        <v>0</v>
      </c>
      <c r="L380" s="16"/>
      <c r="M380" s="16"/>
      <c r="N380" s="16">
        <v>0</v>
      </c>
      <c r="O380" s="16">
        <v>0</v>
      </c>
      <c r="P380" s="16">
        <v>0</v>
      </c>
      <c r="Q380" s="16">
        <v>0</v>
      </c>
      <c r="R380" s="16">
        <v>0</v>
      </c>
      <c r="S380" s="16"/>
      <c r="T380" s="16"/>
      <c r="U380" s="16">
        <v>0</v>
      </c>
      <c r="V380" s="5">
        <f t="shared" si="53"/>
        <v>51255</v>
      </c>
      <c r="W380" s="5"/>
      <c r="X380" s="5">
        <v>51255</v>
      </c>
      <c r="Y380" s="5"/>
      <c r="Z380" s="5"/>
      <c r="AA380" s="5">
        <f t="shared" si="54"/>
        <v>51255</v>
      </c>
      <c r="AB380" s="33"/>
      <c r="AC380" s="33"/>
      <c r="AD380" s="33"/>
      <c r="AE380" s="33"/>
    </row>
    <row r="381" spans="1:31" x14ac:dyDescent="0.25">
      <c r="A381" s="3"/>
      <c r="B381" s="3"/>
      <c r="C381" s="3"/>
      <c r="D381" s="3"/>
      <c r="E381" s="3"/>
      <c r="F381" s="3" t="s">
        <v>571</v>
      </c>
      <c r="G381" s="5">
        <v>133876</v>
      </c>
      <c r="H381" s="16">
        <v>0</v>
      </c>
      <c r="I381" s="16">
        <v>0</v>
      </c>
      <c r="J381" s="16">
        <v>0</v>
      </c>
      <c r="K381" s="16">
        <v>0</v>
      </c>
      <c r="L381" s="16"/>
      <c r="M381" s="16"/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/>
      <c r="T381" s="16"/>
      <c r="U381" s="16">
        <v>0</v>
      </c>
      <c r="V381" s="5">
        <f t="shared" si="53"/>
        <v>133876</v>
      </c>
      <c r="W381" s="5"/>
      <c r="X381" s="5">
        <v>133876</v>
      </c>
      <c r="Y381" s="5"/>
      <c r="Z381" s="5"/>
      <c r="AA381" s="5">
        <f t="shared" si="54"/>
        <v>133876</v>
      </c>
      <c r="AB381" s="33"/>
      <c r="AC381" s="33"/>
      <c r="AD381" s="33"/>
      <c r="AE381" s="33"/>
    </row>
    <row r="382" spans="1:31" x14ac:dyDescent="0.25">
      <c r="A382" s="3"/>
      <c r="B382" s="3"/>
      <c r="C382" s="3"/>
      <c r="D382" s="3"/>
      <c r="E382" s="3"/>
      <c r="F382" s="3" t="s">
        <v>572</v>
      </c>
      <c r="G382" s="5">
        <v>242881</v>
      </c>
      <c r="H382" s="16">
        <v>0</v>
      </c>
      <c r="I382" s="16">
        <v>0</v>
      </c>
      <c r="J382" s="16">
        <v>0</v>
      </c>
      <c r="K382" s="16">
        <v>0</v>
      </c>
      <c r="L382" s="16"/>
      <c r="M382" s="16"/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/>
      <c r="T382" s="16"/>
      <c r="U382" s="16">
        <v>0</v>
      </c>
      <c r="V382" s="5">
        <f t="shared" si="53"/>
        <v>242881</v>
      </c>
      <c r="W382" s="5"/>
      <c r="X382" s="5">
        <v>242881</v>
      </c>
      <c r="Y382" s="5"/>
      <c r="Z382" s="5"/>
      <c r="AA382" s="5">
        <f t="shared" si="54"/>
        <v>242881</v>
      </c>
      <c r="AB382" s="33"/>
      <c r="AC382" s="33"/>
      <c r="AD382" s="33"/>
      <c r="AE382" s="33"/>
    </row>
    <row r="383" spans="1:31" x14ac:dyDescent="0.25">
      <c r="A383" s="3"/>
      <c r="B383" s="3"/>
      <c r="C383" s="3"/>
      <c r="D383" s="3"/>
      <c r="E383" s="3"/>
      <c r="F383" s="3" t="s">
        <v>573</v>
      </c>
      <c r="G383" s="5">
        <v>-787864</v>
      </c>
      <c r="H383" s="16">
        <v>0</v>
      </c>
      <c r="I383" s="16">
        <v>0</v>
      </c>
      <c r="J383" s="16">
        <v>0</v>
      </c>
      <c r="K383" s="16">
        <v>0</v>
      </c>
      <c r="L383" s="16"/>
      <c r="M383" s="16"/>
      <c r="N383" s="16">
        <v>0</v>
      </c>
      <c r="O383" s="16">
        <v>0</v>
      </c>
      <c r="P383" s="16">
        <v>0</v>
      </c>
      <c r="Q383" s="16">
        <v>0</v>
      </c>
      <c r="R383" s="16">
        <v>0</v>
      </c>
      <c r="S383" s="16"/>
      <c r="T383" s="16"/>
      <c r="U383" s="16">
        <v>0</v>
      </c>
      <c r="V383" s="5">
        <f t="shared" si="53"/>
        <v>-787864</v>
      </c>
      <c r="W383" s="5"/>
      <c r="X383" s="5">
        <v>-787864</v>
      </c>
      <c r="Y383" s="5"/>
      <c r="Z383" s="5"/>
      <c r="AA383" s="5">
        <f t="shared" si="54"/>
        <v>-787864</v>
      </c>
      <c r="AB383" s="33"/>
      <c r="AC383" s="33"/>
      <c r="AD383" s="33"/>
      <c r="AE383" s="33"/>
    </row>
    <row r="384" spans="1:31" x14ac:dyDescent="0.25">
      <c r="A384" s="3"/>
      <c r="B384" s="3"/>
      <c r="C384" s="3"/>
      <c r="D384" s="3"/>
      <c r="E384" s="3"/>
      <c r="F384" s="3" t="s">
        <v>574</v>
      </c>
      <c r="G384" s="5">
        <v>-398698</v>
      </c>
      <c r="H384" s="16">
        <v>0</v>
      </c>
      <c r="I384" s="16">
        <v>0</v>
      </c>
      <c r="J384" s="16">
        <v>0</v>
      </c>
      <c r="K384" s="16">
        <v>0</v>
      </c>
      <c r="L384" s="16"/>
      <c r="M384" s="16"/>
      <c r="N384" s="16">
        <v>0</v>
      </c>
      <c r="O384" s="16">
        <v>0</v>
      </c>
      <c r="P384" s="16">
        <v>0</v>
      </c>
      <c r="Q384" s="16">
        <v>0</v>
      </c>
      <c r="R384" s="16">
        <v>0</v>
      </c>
      <c r="S384" s="16"/>
      <c r="T384" s="16"/>
      <c r="U384" s="16">
        <v>0</v>
      </c>
      <c r="V384" s="5">
        <f t="shared" si="53"/>
        <v>-398698</v>
      </c>
      <c r="W384" s="5"/>
      <c r="X384" s="5">
        <v>-398698</v>
      </c>
      <c r="Y384" s="5"/>
      <c r="Z384" s="5"/>
      <c r="AA384" s="5">
        <f t="shared" si="54"/>
        <v>-398698</v>
      </c>
      <c r="AB384" s="33"/>
      <c r="AC384" s="33"/>
      <c r="AD384" s="33"/>
      <c r="AE384" s="33"/>
    </row>
    <row r="385" spans="1:31" x14ac:dyDescent="0.25">
      <c r="A385" s="3"/>
      <c r="B385" s="3"/>
      <c r="C385" s="3"/>
      <c r="D385" s="3"/>
      <c r="E385" s="3"/>
      <c r="F385" s="3" t="s">
        <v>575</v>
      </c>
      <c r="G385" s="5">
        <v>-110260</v>
      </c>
      <c r="H385" s="16">
        <v>0</v>
      </c>
      <c r="I385" s="16">
        <v>0</v>
      </c>
      <c r="J385" s="16">
        <v>0</v>
      </c>
      <c r="K385" s="16">
        <v>0</v>
      </c>
      <c r="L385" s="16"/>
      <c r="M385" s="16"/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/>
      <c r="T385" s="16"/>
      <c r="U385" s="16">
        <v>0</v>
      </c>
      <c r="V385" s="5">
        <f t="shared" si="53"/>
        <v>-110260</v>
      </c>
      <c r="W385" s="5"/>
      <c r="X385" s="5">
        <v>-110260</v>
      </c>
      <c r="Y385" s="5"/>
      <c r="Z385" s="5"/>
      <c r="AA385" s="5">
        <f t="shared" si="54"/>
        <v>-110260</v>
      </c>
      <c r="AB385" s="33"/>
      <c r="AC385" s="33"/>
      <c r="AD385" s="33"/>
      <c r="AE385" s="33"/>
    </row>
    <row r="386" spans="1:31" x14ac:dyDescent="0.25">
      <c r="A386" s="3"/>
      <c r="B386" s="3"/>
      <c r="C386" s="3"/>
      <c r="D386" s="3"/>
      <c r="E386" s="3"/>
      <c r="F386" s="3" t="s">
        <v>576</v>
      </c>
      <c r="G386" s="5">
        <v>-310978</v>
      </c>
      <c r="H386" s="16">
        <v>0</v>
      </c>
      <c r="I386" s="16">
        <v>0</v>
      </c>
      <c r="J386" s="16">
        <v>0</v>
      </c>
      <c r="K386" s="16">
        <v>0</v>
      </c>
      <c r="L386" s="16"/>
      <c r="M386" s="16"/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/>
      <c r="T386" s="16"/>
      <c r="U386" s="16">
        <v>0</v>
      </c>
      <c r="V386" s="5">
        <f t="shared" si="53"/>
        <v>-310978</v>
      </c>
      <c r="W386" s="5"/>
      <c r="X386" s="5">
        <v>-310978</v>
      </c>
      <c r="Y386" s="5"/>
      <c r="Z386" s="5"/>
      <c r="AA386" s="5">
        <f t="shared" si="54"/>
        <v>-310978</v>
      </c>
      <c r="AB386" s="33"/>
      <c r="AC386" s="33"/>
      <c r="AD386" s="33"/>
      <c r="AE386" s="33"/>
    </row>
    <row r="387" spans="1:31" x14ac:dyDescent="0.25">
      <c r="A387" s="3"/>
      <c r="B387" s="3"/>
      <c r="C387" s="3"/>
      <c r="D387" s="3"/>
      <c r="E387" s="3"/>
      <c r="F387" s="3" t="s">
        <v>577</v>
      </c>
      <c r="G387" s="5">
        <v>-36870.18</v>
      </c>
      <c r="H387" s="16">
        <v>0</v>
      </c>
      <c r="I387" s="16">
        <v>0</v>
      </c>
      <c r="J387" s="16">
        <v>0</v>
      </c>
      <c r="K387" s="16">
        <v>0</v>
      </c>
      <c r="L387" s="16"/>
      <c r="M387" s="16"/>
      <c r="N387" s="16">
        <v>0</v>
      </c>
      <c r="O387" s="16">
        <v>0</v>
      </c>
      <c r="P387" s="16">
        <v>0</v>
      </c>
      <c r="Q387" s="16">
        <v>0</v>
      </c>
      <c r="R387" s="16">
        <v>0</v>
      </c>
      <c r="S387" s="16"/>
      <c r="T387" s="16"/>
      <c r="U387" s="16">
        <v>0</v>
      </c>
      <c r="V387" s="5">
        <f t="shared" si="53"/>
        <v>-36870.18</v>
      </c>
      <c r="W387" s="5"/>
      <c r="X387" s="5">
        <v>-36870.18</v>
      </c>
      <c r="Y387" s="5"/>
      <c r="Z387" s="5"/>
      <c r="AA387" s="5">
        <f t="shared" si="54"/>
        <v>-36870.18</v>
      </c>
      <c r="AB387" s="33"/>
      <c r="AC387" s="33"/>
      <c r="AD387" s="33"/>
      <c r="AE387" s="33"/>
    </row>
    <row r="388" spans="1:31" x14ac:dyDescent="0.25">
      <c r="A388" s="3"/>
      <c r="B388" s="3"/>
      <c r="C388" s="3"/>
      <c r="D388" s="3"/>
      <c r="E388" s="3"/>
      <c r="F388" s="3" t="s">
        <v>578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/>
      <c r="M388" s="16"/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/>
      <c r="T388" s="16"/>
      <c r="U388" s="16">
        <v>0</v>
      </c>
      <c r="V388" s="5">
        <f t="shared" si="53"/>
        <v>0</v>
      </c>
      <c r="W388" s="5"/>
      <c r="X388" s="16">
        <v>0</v>
      </c>
      <c r="Y388" s="5"/>
      <c r="Z388" s="5"/>
      <c r="AA388" s="5">
        <f t="shared" si="54"/>
        <v>0</v>
      </c>
      <c r="AB388" s="33"/>
      <c r="AC388" s="33"/>
      <c r="AD388" s="33"/>
      <c r="AE388" s="33"/>
    </row>
    <row r="389" spans="1:31" x14ac:dyDescent="0.25">
      <c r="A389" s="3"/>
      <c r="B389" s="3"/>
      <c r="C389" s="3"/>
      <c r="D389" s="3"/>
      <c r="E389" s="3"/>
      <c r="F389" s="3" t="s">
        <v>698</v>
      </c>
      <c r="G389" s="16">
        <v>-288967</v>
      </c>
      <c r="H389" s="16">
        <v>0</v>
      </c>
      <c r="I389" s="16">
        <v>0</v>
      </c>
      <c r="J389" s="16">
        <v>0</v>
      </c>
      <c r="K389" s="16">
        <v>0</v>
      </c>
      <c r="L389" s="16"/>
      <c r="M389" s="16"/>
      <c r="N389" s="16">
        <v>0</v>
      </c>
      <c r="O389" s="16">
        <v>0</v>
      </c>
      <c r="P389" s="16">
        <v>0</v>
      </c>
      <c r="Q389" s="16">
        <v>0</v>
      </c>
      <c r="R389" s="16">
        <v>0</v>
      </c>
      <c r="S389" s="16"/>
      <c r="T389" s="16"/>
      <c r="U389" s="16">
        <v>0</v>
      </c>
      <c r="V389" s="5">
        <f t="shared" si="53"/>
        <v>-288967</v>
      </c>
      <c r="W389" s="5"/>
      <c r="X389" s="16"/>
      <c r="Y389" s="5"/>
      <c r="Z389" s="5"/>
      <c r="AA389" s="5"/>
      <c r="AB389" s="33"/>
      <c r="AC389" s="33"/>
      <c r="AD389" s="33"/>
      <c r="AE389" s="33"/>
    </row>
    <row r="390" spans="1:31" x14ac:dyDescent="0.25">
      <c r="A390" s="3"/>
      <c r="B390" s="3"/>
      <c r="C390" s="3"/>
      <c r="D390" s="3"/>
      <c r="E390" s="3"/>
      <c r="F390" s="3" t="s">
        <v>819</v>
      </c>
      <c r="G390" s="16">
        <v>-267442</v>
      </c>
      <c r="H390" s="16">
        <v>0</v>
      </c>
      <c r="I390" s="16">
        <v>0</v>
      </c>
      <c r="J390" s="16">
        <v>0</v>
      </c>
      <c r="K390" s="16">
        <v>0</v>
      </c>
      <c r="L390" s="16"/>
      <c r="M390" s="16"/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/>
      <c r="T390" s="16"/>
      <c r="U390" s="16">
        <v>0</v>
      </c>
      <c r="V390" s="5">
        <f t="shared" si="53"/>
        <v>-267442</v>
      </c>
      <c r="W390" s="5"/>
      <c r="X390" s="16"/>
      <c r="Y390" s="5"/>
      <c r="Z390" s="5"/>
      <c r="AA390" s="5">
        <f>X390+Z390-Y390</f>
        <v>0</v>
      </c>
      <c r="AB390" s="33"/>
      <c r="AC390" s="33"/>
      <c r="AD390" s="33"/>
      <c r="AE390" s="33"/>
    </row>
    <row r="391" spans="1:31" hidden="1" x14ac:dyDescent="0.25">
      <c r="A391" s="3">
        <v>3</v>
      </c>
      <c r="B391" s="3">
        <v>2</v>
      </c>
      <c r="C391" s="3">
        <v>3</v>
      </c>
      <c r="D391" s="3"/>
      <c r="E391" s="3"/>
      <c r="F391" s="4" t="s">
        <v>72</v>
      </c>
      <c r="G391" s="49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5"/>
      <c r="W391" s="5"/>
      <c r="X391" s="49"/>
      <c r="Y391" s="5"/>
      <c r="Z391" s="5"/>
      <c r="AA391" s="5"/>
      <c r="AB391" s="33"/>
      <c r="AC391" s="33"/>
      <c r="AD391" s="33"/>
      <c r="AE391" s="33"/>
    </row>
    <row r="392" spans="1:31" hidden="1" x14ac:dyDescent="0.25">
      <c r="A392" s="3">
        <v>3</v>
      </c>
      <c r="B392" s="3">
        <v>2</v>
      </c>
      <c r="C392" s="3">
        <v>3</v>
      </c>
      <c r="D392" s="3">
        <v>1</v>
      </c>
      <c r="E392" s="3"/>
      <c r="F392" s="3" t="s">
        <v>226</v>
      </c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5"/>
      <c r="W392" s="5"/>
      <c r="X392" s="3"/>
      <c r="Y392" s="5"/>
      <c r="Z392" s="5"/>
      <c r="AA392" s="5"/>
      <c r="AB392" s="33"/>
      <c r="AC392" s="33"/>
      <c r="AD392" s="33"/>
      <c r="AE392" s="33"/>
    </row>
    <row r="393" spans="1:31" hidden="1" x14ac:dyDescent="0.25">
      <c r="A393" s="3">
        <v>3</v>
      </c>
      <c r="B393" s="3">
        <v>2</v>
      </c>
      <c r="C393" s="3">
        <v>3</v>
      </c>
      <c r="D393" s="3">
        <v>2</v>
      </c>
      <c r="E393" s="3"/>
      <c r="F393" s="3" t="s">
        <v>227</v>
      </c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5"/>
      <c r="W393" s="5"/>
      <c r="X393" s="3"/>
      <c r="Y393" s="5"/>
      <c r="Z393" s="5"/>
      <c r="AA393" s="5"/>
      <c r="AB393" s="33"/>
      <c r="AC393" s="33"/>
      <c r="AD393" s="33"/>
      <c r="AE393" s="33"/>
    </row>
    <row r="394" spans="1:31" hidden="1" x14ac:dyDescent="0.25">
      <c r="A394" s="3">
        <v>3</v>
      </c>
      <c r="B394" s="3">
        <v>2</v>
      </c>
      <c r="C394" s="3">
        <v>3</v>
      </c>
      <c r="D394" s="3">
        <v>3</v>
      </c>
      <c r="E394" s="3"/>
      <c r="F394" s="3" t="s">
        <v>228</v>
      </c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5"/>
      <c r="W394" s="5"/>
      <c r="X394" s="3"/>
      <c r="Y394" s="5"/>
      <c r="Z394" s="5"/>
      <c r="AA394" s="5"/>
      <c r="AB394" s="33"/>
      <c r="AC394" s="33"/>
      <c r="AD394" s="33"/>
      <c r="AE394" s="33"/>
    </row>
    <row r="395" spans="1:31" hidden="1" x14ac:dyDescent="0.25">
      <c r="A395" s="3">
        <v>3</v>
      </c>
      <c r="B395" s="3">
        <v>2</v>
      </c>
      <c r="C395" s="3">
        <v>3</v>
      </c>
      <c r="D395" s="3">
        <v>9</v>
      </c>
      <c r="E395" s="3"/>
      <c r="F395" s="3" t="s">
        <v>229</v>
      </c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5"/>
      <c r="W395" s="5"/>
      <c r="X395" s="3"/>
      <c r="Y395" s="5"/>
      <c r="Z395" s="5"/>
      <c r="AA395" s="5"/>
      <c r="AB395" s="33"/>
      <c r="AC395" s="33"/>
      <c r="AD395" s="33"/>
      <c r="AE395" s="33"/>
    </row>
    <row r="396" spans="1:31" hidden="1" x14ac:dyDescent="0.25">
      <c r="A396" s="3">
        <v>3</v>
      </c>
      <c r="B396" s="3">
        <v>2</v>
      </c>
      <c r="C396" s="3">
        <v>4</v>
      </c>
      <c r="D396" s="3"/>
      <c r="E396" s="3"/>
      <c r="F396" s="4" t="s">
        <v>73</v>
      </c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5"/>
      <c r="W396" s="5"/>
      <c r="X396" s="4"/>
      <c r="Y396" s="5"/>
      <c r="Z396" s="5"/>
      <c r="AA396" s="5"/>
      <c r="AB396" s="33"/>
      <c r="AC396" s="33"/>
      <c r="AD396" s="33"/>
      <c r="AE396" s="33"/>
    </row>
    <row r="397" spans="1:31" hidden="1" x14ac:dyDescent="0.25">
      <c r="A397" s="3">
        <v>3</v>
      </c>
      <c r="B397" s="3">
        <v>2</v>
      </c>
      <c r="C397" s="3">
        <v>4</v>
      </c>
      <c r="D397" s="3">
        <v>1</v>
      </c>
      <c r="E397" s="3"/>
      <c r="F397" s="3" t="s">
        <v>230</v>
      </c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5"/>
      <c r="W397" s="5"/>
      <c r="X397" s="3"/>
      <c r="Y397" s="5"/>
      <c r="Z397" s="5"/>
      <c r="AA397" s="5"/>
      <c r="AB397" s="33"/>
      <c r="AC397" s="33"/>
      <c r="AD397" s="33"/>
      <c r="AE397" s="33"/>
    </row>
    <row r="398" spans="1:31" hidden="1" x14ac:dyDescent="0.25">
      <c r="A398" s="3">
        <v>3</v>
      </c>
      <c r="B398" s="3">
        <v>2</v>
      </c>
      <c r="C398" s="3">
        <v>4</v>
      </c>
      <c r="D398" s="3">
        <v>2</v>
      </c>
      <c r="E398" s="3"/>
      <c r="F398" s="3" t="s">
        <v>231</v>
      </c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5"/>
      <c r="W398" s="5"/>
      <c r="X398" s="3"/>
      <c r="Y398" s="5"/>
      <c r="Z398" s="5"/>
      <c r="AA398" s="5"/>
      <c r="AB398" s="33"/>
      <c r="AC398" s="33"/>
      <c r="AD398" s="33"/>
      <c r="AE398" s="33"/>
    </row>
    <row r="399" spans="1:31" hidden="1" x14ac:dyDescent="0.25">
      <c r="A399" s="3">
        <v>3</v>
      </c>
      <c r="B399" s="3">
        <v>2</v>
      </c>
      <c r="C399" s="3">
        <v>4</v>
      </c>
      <c r="D399" s="3">
        <v>3</v>
      </c>
      <c r="E399" s="3"/>
      <c r="F399" s="3" t="s">
        <v>232</v>
      </c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5"/>
      <c r="W399" s="5"/>
      <c r="X399" s="3"/>
      <c r="Y399" s="5"/>
      <c r="Z399" s="5"/>
      <c r="AA399" s="5"/>
      <c r="AB399" s="33"/>
      <c r="AC399" s="33"/>
      <c r="AD399" s="33"/>
      <c r="AE399" s="33"/>
    </row>
    <row r="400" spans="1:31" ht="24" hidden="1" x14ac:dyDescent="0.25">
      <c r="A400" s="3">
        <v>3</v>
      </c>
      <c r="B400" s="3">
        <v>2</v>
      </c>
      <c r="C400" s="3">
        <v>5</v>
      </c>
      <c r="D400" s="3"/>
      <c r="E400" s="3"/>
      <c r="F400" s="4" t="s">
        <v>74</v>
      </c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5"/>
      <c r="W400" s="5"/>
      <c r="X400" s="4"/>
      <c r="Y400" s="5"/>
      <c r="Z400" s="5"/>
      <c r="AA400" s="5"/>
      <c r="AB400" s="33"/>
      <c r="AC400" s="33"/>
      <c r="AD400" s="33"/>
      <c r="AE400" s="33"/>
    </row>
    <row r="401" spans="1:31" hidden="1" x14ac:dyDescent="0.25">
      <c r="A401" s="3">
        <v>3</v>
      </c>
      <c r="B401" s="3">
        <v>2</v>
      </c>
      <c r="C401" s="3">
        <v>5</v>
      </c>
      <c r="D401" s="3">
        <v>1</v>
      </c>
      <c r="E401" s="3"/>
      <c r="F401" s="3" t="s">
        <v>233</v>
      </c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5"/>
      <c r="W401" s="5"/>
      <c r="X401" s="3"/>
      <c r="Y401" s="5"/>
      <c r="Z401" s="5"/>
      <c r="AA401" s="5"/>
      <c r="AB401" s="33"/>
      <c r="AC401" s="33"/>
      <c r="AD401" s="33"/>
      <c r="AE401" s="33"/>
    </row>
    <row r="402" spans="1:31" hidden="1" x14ac:dyDescent="0.25">
      <c r="A402" s="3">
        <v>3</v>
      </c>
      <c r="B402" s="3">
        <v>2</v>
      </c>
      <c r="C402" s="3">
        <v>5</v>
      </c>
      <c r="D402" s="3">
        <v>2</v>
      </c>
      <c r="E402" s="3"/>
      <c r="F402" s="3" t="s">
        <v>234</v>
      </c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5"/>
      <c r="W402" s="5"/>
      <c r="X402" s="3"/>
      <c r="Y402" s="5"/>
      <c r="Z402" s="5"/>
      <c r="AA402" s="5"/>
      <c r="AB402" s="33"/>
      <c r="AC402" s="33"/>
      <c r="AD402" s="33"/>
      <c r="AE402" s="33"/>
    </row>
    <row r="403" spans="1:31" ht="24" x14ac:dyDescent="0.25">
      <c r="A403" s="2">
        <v>3</v>
      </c>
      <c r="B403" s="2">
        <v>3</v>
      </c>
      <c r="C403" s="2"/>
      <c r="D403" s="2"/>
      <c r="E403" s="2"/>
      <c r="F403" s="2" t="s">
        <v>235</v>
      </c>
      <c r="G403" s="21">
        <f>SUM(G404:G405)</f>
        <v>3386308</v>
      </c>
      <c r="H403" s="21">
        <f>SUM(H404:H405)</f>
        <v>181999</v>
      </c>
      <c r="I403" s="21">
        <f>SUM(I404:I405)</f>
        <v>0</v>
      </c>
      <c r="J403" s="21">
        <f>SUM(J404:J405)</f>
        <v>0</v>
      </c>
      <c r="K403" s="21">
        <f>SUM(K404:K405)</f>
        <v>0</v>
      </c>
      <c r="L403" s="21"/>
      <c r="M403" s="21"/>
      <c r="N403" s="21">
        <f>SUM(N404:N405)</f>
        <v>910729</v>
      </c>
      <c r="O403" s="21">
        <f>SUM(O404:O405)</f>
        <v>0</v>
      </c>
      <c r="P403" s="21">
        <f>SUM(P404:P405)</f>
        <v>0</v>
      </c>
      <c r="Q403" s="21">
        <f>SUM(Q404:Q405)</f>
        <v>0</v>
      </c>
      <c r="R403" s="21">
        <f>SUM(R404:R405)</f>
        <v>0</v>
      </c>
      <c r="S403" s="21"/>
      <c r="T403" s="21"/>
      <c r="U403" s="21">
        <f>SUM(U404:U405)</f>
        <v>424830</v>
      </c>
      <c r="V403" s="21">
        <f>SUM(V404:V405)</f>
        <v>3372816</v>
      </c>
      <c r="W403" s="6"/>
      <c r="X403" s="21">
        <f>SUM(X404:X405)</f>
        <v>3248817</v>
      </c>
      <c r="Y403" s="21"/>
      <c r="Z403" s="21"/>
      <c r="AA403" s="21">
        <f>SUM(AA404:AA405)</f>
        <v>3248817</v>
      </c>
      <c r="AB403" s="6" t="s">
        <v>236</v>
      </c>
      <c r="AC403" s="33"/>
      <c r="AD403" s="33"/>
      <c r="AE403" s="33"/>
    </row>
    <row r="404" spans="1:31" x14ac:dyDescent="0.25">
      <c r="A404" s="3">
        <v>3</v>
      </c>
      <c r="B404" s="3">
        <v>3</v>
      </c>
      <c r="C404" s="3">
        <v>1</v>
      </c>
      <c r="D404" s="3"/>
      <c r="E404" s="3"/>
      <c r="F404" s="4" t="s">
        <v>75</v>
      </c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5">
        <v>472406</v>
      </c>
      <c r="W404" s="5"/>
      <c r="X404" s="4"/>
      <c r="Y404" s="5"/>
      <c r="Z404" s="5"/>
      <c r="AA404" s="5"/>
      <c r="AB404" s="33"/>
      <c r="AC404" s="33"/>
      <c r="AD404" s="33"/>
      <c r="AE404" s="33"/>
    </row>
    <row r="405" spans="1:31" x14ac:dyDescent="0.25">
      <c r="A405" s="3">
        <v>3</v>
      </c>
      <c r="B405" s="3">
        <v>3</v>
      </c>
      <c r="C405" s="3">
        <v>2</v>
      </c>
      <c r="D405" s="3"/>
      <c r="E405" s="3"/>
      <c r="F405" s="4" t="s">
        <v>76</v>
      </c>
      <c r="G405" s="5">
        <f>SUM(G406:G407)</f>
        <v>3386308</v>
      </c>
      <c r="H405" s="5">
        <f>SUM(H406:H407)</f>
        <v>181999</v>
      </c>
      <c r="I405" s="5">
        <f>SUM(I406:I407)</f>
        <v>0</v>
      </c>
      <c r="J405" s="5">
        <f>SUM(J406:J407)</f>
        <v>0</v>
      </c>
      <c r="K405" s="5">
        <f>SUM(K406:K407)</f>
        <v>0</v>
      </c>
      <c r="L405" s="5"/>
      <c r="M405" s="5"/>
      <c r="N405" s="5">
        <f>SUM(N406:N407)</f>
        <v>910729</v>
      </c>
      <c r="O405" s="5">
        <f>SUM(O406:O407)</f>
        <v>0</v>
      </c>
      <c r="P405" s="5">
        <f>SUM(P406:P407)</f>
        <v>0</v>
      </c>
      <c r="Q405" s="5">
        <f>SUM(Q406:Q407)</f>
        <v>0</v>
      </c>
      <c r="R405" s="5">
        <f>SUM(R406:R407)</f>
        <v>0</v>
      </c>
      <c r="S405" s="5"/>
      <c r="T405" s="5"/>
      <c r="U405" s="5">
        <f>SUM(U406:U407)</f>
        <v>424830</v>
      </c>
      <c r="V405" s="5">
        <f>SUM(V406:V407)+1</f>
        <v>2900410</v>
      </c>
      <c r="W405" s="5"/>
      <c r="X405" s="5">
        <f>SUM(X406:X407)</f>
        <v>3248817</v>
      </c>
      <c r="Y405" s="5"/>
      <c r="Z405" s="5"/>
      <c r="AA405" s="5">
        <f>SUM(AA406:AA407)</f>
        <v>3248817</v>
      </c>
      <c r="AB405" s="33"/>
      <c r="AC405" s="33"/>
      <c r="AD405" s="33"/>
      <c r="AE405" s="33"/>
    </row>
    <row r="406" spans="1:31" x14ac:dyDescent="0.25">
      <c r="A406" s="3"/>
      <c r="B406" s="3"/>
      <c r="C406" s="3"/>
      <c r="D406" s="3"/>
      <c r="E406" s="3"/>
      <c r="F406" s="3" t="s">
        <v>63</v>
      </c>
      <c r="G406" s="16">
        <v>2518887</v>
      </c>
      <c r="H406" s="16">
        <v>181999</v>
      </c>
      <c r="I406" s="16"/>
      <c r="J406" s="16"/>
      <c r="K406" s="16"/>
      <c r="L406" s="16">
        <v>303900</v>
      </c>
      <c r="M406" s="16">
        <v>424830</v>
      </c>
      <c r="N406" s="16">
        <f>SUM(H406:M406)</f>
        <v>910729</v>
      </c>
      <c r="O406" s="16">
        <v>0</v>
      </c>
      <c r="P406" s="16">
        <v>0</v>
      </c>
      <c r="Q406" s="16">
        <v>0</v>
      </c>
      <c r="R406" s="16">
        <v>0</v>
      </c>
      <c r="S406" s="16">
        <f>195930+228900</f>
        <v>424830</v>
      </c>
      <c r="T406" s="16"/>
      <c r="U406" s="16">
        <f>SUM(O406:S406)</f>
        <v>424830</v>
      </c>
      <c r="V406" s="5">
        <f>+G406+U406-N406</f>
        <v>2032988</v>
      </c>
      <c r="W406" s="5"/>
      <c r="X406" s="16">
        <v>2381396</v>
      </c>
      <c r="Y406" s="5"/>
      <c r="Z406" s="5"/>
      <c r="AA406" s="5">
        <f>X406+Y406-Z406</f>
        <v>2381396</v>
      </c>
      <c r="AB406" s="33"/>
      <c r="AC406" s="33"/>
      <c r="AD406" s="33"/>
      <c r="AE406" s="33"/>
    </row>
    <row r="407" spans="1:31" x14ac:dyDescent="0.25">
      <c r="A407" s="3"/>
      <c r="B407" s="3"/>
      <c r="C407" s="3"/>
      <c r="D407" s="3"/>
      <c r="E407" s="3"/>
      <c r="F407" s="3" t="s">
        <v>592</v>
      </c>
      <c r="G407" s="16">
        <v>867421</v>
      </c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5">
        <f>G407-N407+U407</f>
        <v>867421</v>
      </c>
      <c r="W407" s="5"/>
      <c r="X407" s="16">
        <v>867421</v>
      </c>
      <c r="Y407" s="5"/>
      <c r="Z407" s="5"/>
      <c r="AA407" s="5">
        <f>X407+Y407-Z407</f>
        <v>867421</v>
      </c>
      <c r="AB407" s="33"/>
      <c r="AC407" s="33"/>
      <c r="AD407" s="33"/>
      <c r="AE407" s="33"/>
    </row>
    <row r="408" spans="1:31" x14ac:dyDescent="0.25">
      <c r="A408" s="1">
        <v>4</v>
      </c>
      <c r="B408" s="1"/>
      <c r="C408" s="1"/>
      <c r="D408" s="1"/>
      <c r="E408" s="1"/>
      <c r="F408" s="12" t="s">
        <v>1</v>
      </c>
      <c r="G408" s="22">
        <f>G409+G471</f>
        <v>15928878</v>
      </c>
      <c r="H408" s="22">
        <f>H409+H471</f>
        <v>0</v>
      </c>
      <c r="I408" s="22">
        <f>I409+I471</f>
        <v>0</v>
      </c>
      <c r="J408" s="22">
        <f>J409+J471</f>
        <v>0</v>
      </c>
      <c r="K408" s="22">
        <f>K409+K471</f>
        <v>0</v>
      </c>
      <c r="L408" s="22"/>
      <c r="M408" s="22"/>
      <c r="N408" s="22">
        <f t="shared" ref="N408:V408" si="55">N409+N471</f>
        <v>0</v>
      </c>
      <c r="O408" s="22">
        <f t="shared" si="55"/>
        <v>5903496</v>
      </c>
      <c r="P408" s="22">
        <f t="shared" si="55"/>
        <v>1087678</v>
      </c>
      <c r="Q408" s="22">
        <f t="shared" si="55"/>
        <v>1695812</v>
      </c>
      <c r="R408" s="22">
        <f t="shared" si="55"/>
        <v>910339</v>
      </c>
      <c r="S408" s="22">
        <f t="shared" si="55"/>
        <v>4011227</v>
      </c>
      <c r="T408" s="22">
        <f t="shared" si="55"/>
        <v>14000958</v>
      </c>
      <c r="U408" s="22">
        <f t="shared" si="55"/>
        <v>27609510</v>
      </c>
      <c r="V408" s="22">
        <f t="shared" si="55"/>
        <v>27609510</v>
      </c>
      <c r="W408" s="22"/>
      <c r="X408" s="22">
        <f>X409+X471</f>
        <v>26884867</v>
      </c>
      <c r="Y408" s="22"/>
      <c r="Z408" s="22"/>
      <c r="AA408" s="22">
        <f>AA409+AA471</f>
        <v>26884867</v>
      </c>
      <c r="AB408" s="33"/>
      <c r="AC408" s="33"/>
      <c r="AD408" s="33"/>
      <c r="AE408" s="33"/>
    </row>
    <row r="409" spans="1:31" hidden="1" x14ac:dyDescent="0.25">
      <c r="A409" s="2">
        <v>4</v>
      </c>
      <c r="B409" s="2">
        <v>1</v>
      </c>
      <c r="C409" s="2"/>
      <c r="D409" s="2"/>
      <c r="E409" s="2"/>
      <c r="F409" s="2" t="s">
        <v>237</v>
      </c>
      <c r="G409" s="21">
        <f>+G427+G441+G450</f>
        <v>3927598</v>
      </c>
      <c r="H409" s="21">
        <f>+H427+H441+H450</f>
        <v>0</v>
      </c>
      <c r="I409" s="21">
        <f>+I427+I441+I450</f>
        <v>0</v>
      </c>
      <c r="J409" s="21">
        <f>+J427+J441+J450</f>
        <v>0</v>
      </c>
      <c r="K409" s="21">
        <f>+K427+K441+K450</f>
        <v>0</v>
      </c>
      <c r="L409" s="21"/>
      <c r="M409" s="21"/>
      <c r="N409" s="21">
        <f t="shared" ref="N409:V409" si="56">+N427+N441+N450</f>
        <v>0</v>
      </c>
      <c r="O409" s="21">
        <f t="shared" si="56"/>
        <v>3350496</v>
      </c>
      <c r="P409" s="21">
        <f t="shared" si="56"/>
        <v>236678</v>
      </c>
      <c r="Q409" s="21">
        <f t="shared" si="56"/>
        <v>286812</v>
      </c>
      <c r="R409" s="21">
        <f t="shared" si="56"/>
        <v>59339</v>
      </c>
      <c r="S409" s="21">
        <f t="shared" si="56"/>
        <v>923092</v>
      </c>
      <c r="T409" s="21">
        <f t="shared" si="56"/>
        <v>1404958</v>
      </c>
      <c r="U409" s="21">
        <f t="shared" si="56"/>
        <v>6261375</v>
      </c>
      <c r="V409" s="21">
        <f t="shared" si="56"/>
        <v>6261375</v>
      </c>
      <c r="W409" s="21"/>
      <c r="X409" s="21">
        <f>+X427+X441+X450</f>
        <v>3504813</v>
      </c>
      <c r="Y409" s="21"/>
      <c r="Z409" s="21"/>
      <c r="AA409" s="21">
        <f>+AA427+AA441+AA450</f>
        <v>3504813</v>
      </c>
      <c r="AB409" s="33"/>
      <c r="AC409" s="33"/>
      <c r="AD409" s="33"/>
      <c r="AE409" s="33"/>
    </row>
    <row r="410" spans="1:31" hidden="1" x14ac:dyDescent="0.25">
      <c r="A410" s="1">
        <v>4</v>
      </c>
      <c r="B410" s="1">
        <v>1</v>
      </c>
      <c r="C410" s="1">
        <v>1</v>
      </c>
      <c r="D410" s="1"/>
      <c r="E410" s="1"/>
      <c r="F410" s="23" t="s">
        <v>4</v>
      </c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1"/>
      <c r="W410" s="21"/>
      <c r="X410" s="23"/>
      <c r="Y410" s="21"/>
      <c r="Z410" s="21"/>
      <c r="AA410" s="21"/>
      <c r="AB410" s="33"/>
      <c r="AC410" s="33"/>
      <c r="AD410" s="33"/>
      <c r="AE410" s="33"/>
    </row>
    <row r="411" spans="1:31" hidden="1" x14ac:dyDescent="0.25">
      <c r="A411" s="3">
        <v>4</v>
      </c>
      <c r="B411" s="3">
        <v>1</v>
      </c>
      <c r="C411" s="3">
        <v>1</v>
      </c>
      <c r="D411" s="3">
        <v>1</v>
      </c>
      <c r="E411" s="3"/>
      <c r="F411" s="3" t="s">
        <v>238</v>
      </c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5"/>
      <c r="W411" s="5"/>
      <c r="X411" s="3"/>
      <c r="Y411" s="5"/>
      <c r="Z411" s="5"/>
      <c r="AA411" s="5"/>
      <c r="AB411" s="33"/>
      <c r="AC411" s="33"/>
      <c r="AD411" s="33"/>
      <c r="AE411" s="33"/>
    </row>
    <row r="412" spans="1:31" hidden="1" x14ac:dyDescent="0.25">
      <c r="A412" s="3">
        <v>4</v>
      </c>
      <c r="B412" s="3">
        <v>1</v>
      </c>
      <c r="C412" s="3">
        <v>1</v>
      </c>
      <c r="D412" s="3">
        <v>2</v>
      </c>
      <c r="E412" s="3"/>
      <c r="F412" s="3" t="s">
        <v>239</v>
      </c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5"/>
      <c r="W412" s="5"/>
      <c r="X412" s="3"/>
      <c r="Y412" s="5"/>
      <c r="Z412" s="5"/>
      <c r="AA412" s="5"/>
      <c r="AB412" s="33"/>
      <c r="AC412" s="33"/>
      <c r="AD412" s="33"/>
      <c r="AE412" s="33"/>
    </row>
    <row r="413" spans="1:31" ht="24" hidden="1" x14ac:dyDescent="0.25">
      <c r="A413" s="3">
        <v>4</v>
      </c>
      <c r="B413" s="3">
        <v>1</v>
      </c>
      <c r="C413" s="3">
        <v>1</v>
      </c>
      <c r="D413" s="3">
        <v>3</v>
      </c>
      <c r="E413" s="3"/>
      <c r="F413" s="3" t="s">
        <v>240</v>
      </c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5"/>
      <c r="W413" s="5"/>
      <c r="X413" s="3"/>
      <c r="Y413" s="5"/>
      <c r="Z413" s="5"/>
      <c r="AA413" s="5"/>
      <c r="AB413" s="33"/>
      <c r="AC413" s="33"/>
      <c r="AD413" s="33"/>
      <c r="AE413" s="33"/>
    </row>
    <row r="414" spans="1:31" hidden="1" x14ac:dyDescent="0.25">
      <c r="A414" s="3">
        <v>4</v>
      </c>
      <c r="B414" s="3">
        <v>1</v>
      </c>
      <c r="C414" s="3">
        <v>1</v>
      </c>
      <c r="D414" s="3">
        <v>4</v>
      </c>
      <c r="E414" s="3"/>
      <c r="F414" s="3" t="s">
        <v>241</v>
      </c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5"/>
      <c r="W414" s="5"/>
      <c r="X414" s="3"/>
      <c r="Y414" s="5"/>
      <c r="Z414" s="5"/>
      <c r="AA414" s="5"/>
      <c r="AB414" s="33"/>
      <c r="AC414" s="33"/>
      <c r="AD414" s="33"/>
      <c r="AE414" s="33"/>
    </row>
    <row r="415" spans="1:31" hidden="1" x14ac:dyDescent="0.25">
      <c r="A415" s="3">
        <v>4</v>
      </c>
      <c r="B415" s="3">
        <v>1</v>
      </c>
      <c r="C415" s="3">
        <v>1</v>
      </c>
      <c r="D415" s="3">
        <v>5</v>
      </c>
      <c r="E415" s="3"/>
      <c r="F415" s="3" t="s">
        <v>242</v>
      </c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5"/>
      <c r="W415" s="5"/>
      <c r="X415" s="3"/>
      <c r="Y415" s="5"/>
      <c r="Z415" s="5"/>
      <c r="AA415" s="5"/>
      <c r="AB415" s="33"/>
      <c r="AC415" s="33"/>
      <c r="AD415" s="33"/>
      <c r="AE415" s="33"/>
    </row>
    <row r="416" spans="1:31" hidden="1" x14ac:dyDescent="0.25">
      <c r="A416" s="3">
        <v>4</v>
      </c>
      <c r="B416" s="3">
        <v>1</v>
      </c>
      <c r="C416" s="3">
        <v>1</v>
      </c>
      <c r="D416" s="3">
        <v>6</v>
      </c>
      <c r="E416" s="3"/>
      <c r="F416" s="3" t="s">
        <v>243</v>
      </c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5"/>
      <c r="W416" s="5"/>
      <c r="X416" s="3"/>
      <c r="Y416" s="5"/>
      <c r="Z416" s="5"/>
      <c r="AA416" s="5"/>
      <c r="AB416" s="33"/>
      <c r="AC416" s="33"/>
      <c r="AD416" s="33"/>
      <c r="AE416" s="33"/>
    </row>
    <row r="417" spans="1:31" hidden="1" x14ac:dyDescent="0.25">
      <c r="A417" s="3">
        <v>4</v>
      </c>
      <c r="B417" s="3">
        <v>1</v>
      </c>
      <c r="C417" s="3">
        <v>1</v>
      </c>
      <c r="D417" s="3">
        <v>7</v>
      </c>
      <c r="E417" s="3"/>
      <c r="F417" s="3" t="s">
        <v>244</v>
      </c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5"/>
      <c r="W417" s="5"/>
      <c r="X417" s="3"/>
      <c r="Y417" s="5"/>
      <c r="Z417" s="5"/>
      <c r="AA417" s="5"/>
      <c r="AB417" s="33"/>
      <c r="AC417" s="33"/>
      <c r="AD417" s="33"/>
      <c r="AE417" s="33"/>
    </row>
    <row r="418" spans="1:31" hidden="1" x14ac:dyDescent="0.25">
      <c r="A418" s="3">
        <v>4</v>
      </c>
      <c r="B418" s="3">
        <v>1</v>
      </c>
      <c r="C418" s="3">
        <v>1</v>
      </c>
      <c r="D418" s="3">
        <v>9</v>
      </c>
      <c r="E418" s="3"/>
      <c r="F418" s="3" t="s">
        <v>245</v>
      </c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5"/>
      <c r="W418" s="5"/>
      <c r="X418" s="3"/>
      <c r="Y418" s="5"/>
      <c r="Z418" s="5"/>
      <c r="AA418" s="5"/>
      <c r="AB418" s="33"/>
      <c r="AC418" s="33"/>
      <c r="AD418" s="33"/>
      <c r="AE418" s="33"/>
    </row>
    <row r="419" spans="1:31" hidden="1" x14ac:dyDescent="0.25">
      <c r="A419" s="3">
        <v>4</v>
      </c>
      <c r="B419" s="3">
        <v>1</v>
      </c>
      <c r="C419" s="3">
        <v>2</v>
      </c>
      <c r="D419" s="3"/>
      <c r="E419" s="3"/>
      <c r="F419" s="4" t="s">
        <v>78</v>
      </c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5"/>
      <c r="W419" s="5"/>
      <c r="X419" s="4"/>
      <c r="Y419" s="5"/>
      <c r="Z419" s="5"/>
      <c r="AA419" s="5"/>
      <c r="AB419" s="33"/>
      <c r="AC419" s="33"/>
      <c r="AD419" s="33"/>
      <c r="AE419" s="33"/>
    </row>
    <row r="420" spans="1:31" hidden="1" x14ac:dyDescent="0.25">
      <c r="A420" s="3">
        <v>4</v>
      </c>
      <c r="B420" s="3">
        <v>1</v>
      </c>
      <c r="C420" s="3">
        <v>2</v>
      </c>
      <c r="D420" s="3">
        <v>1</v>
      </c>
      <c r="E420" s="3"/>
      <c r="F420" s="3" t="s">
        <v>246</v>
      </c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5"/>
      <c r="W420" s="5"/>
      <c r="X420" s="3"/>
      <c r="Y420" s="5"/>
      <c r="Z420" s="5"/>
      <c r="AA420" s="5"/>
      <c r="AB420" s="33"/>
      <c r="AC420" s="33"/>
      <c r="AD420" s="33"/>
      <c r="AE420" s="33"/>
    </row>
    <row r="421" spans="1:31" hidden="1" x14ac:dyDescent="0.25">
      <c r="A421" s="3">
        <v>4</v>
      </c>
      <c r="B421" s="3">
        <v>1</v>
      </c>
      <c r="C421" s="3">
        <v>2</v>
      </c>
      <c r="D421" s="3">
        <v>2</v>
      </c>
      <c r="E421" s="3"/>
      <c r="F421" s="3" t="s">
        <v>247</v>
      </c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5"/>
      <c r="W421" s="5"/>
      <c r="X421" s="3"/>
      <c r="Y421" s="5"/>
      <c r="Z421" s="5"/>
      <c r="AA421" s="5"/>
      <c r="AB421" s="33"/>
      <c r="AC421" s="33"/>
      <c r="AD421" s="33"/>
      <c r="AE421" s="33"/>
    </row>
    <row r="422" spans="1:31" hidden="1" x14ac:dyDescent="0.25">
      <c r="A422" s="3">
        <v>4</v>
      </c>
      <c r="B422" s="3">
        <v>1</v>
      </c>
      <c r="C422" s="3">
        <v>2</v>
      </c>
      <c r="D422" s="3">
        <v>3</v>
      </c>
      <c r="E422" s="3"/>
      <c r="F422" s="3" t="s">
        <v>248</v>
      </c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5"/>
      <c r="W422" s="5"/>
      <c r="X422" s="3"/>
      <c r="Y422" s="5"/>
      <c r="Z422" s="5"/>
      <c r="AA422" s="5"/>
      <c r="AB422" s="33"/>
      <c r="AC422" s="33"/>
      <c r="AD422" s="33"/>
      <c r="AE422" s="33"/>
    </row>
    <row r="423" spans="1:31" ht="24" hidden="1" x14ac:dyDescent="0.25">
      <c r="A423" s="3">
        <v>4</v>
      </c>
      <c r="B423" s="3">
        <v>1</v>
      </c>
      <c r="C423" s="3">
        <v>2</v>
      </c>
      <c r="D423" s="3">
        <v>4</v>
      </c>
      <c r="E423" s="3"/>
      <c r="F423" s="3" t="s">
        <v>249</v>
      </c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5"/>
      <c r="W423" s="5"/>
      <c r="X423" s="3"/>
      <c r="Y423" s="5"/>
      <c r="Z423" s="5"/>
      <c r="AA423" s="5"/>
      <c r="AB423" s="33"/>
      <c r="AC423" s="33"/>
      <c r="AD423" s="33"/>
      <c r="AE423" s="33"/>
    </row>
    <row r="424" spans="1:31" hidden="1" x14ac:dyDescent="0.25">
      <c r="A424" s="3">
        <v>4</v>
      </c>
      <c r="B424" s="3">
        <v>1</v>
      </c>
      <c r="C424" s="3">
        <v>2</v>
      </c>
      <c r="D424" s="3">
        <v>9</v>
      </c>
      <c r="E424" s="3"/>
      <c r="F424" s="3" t="s">
        <v>250</v>
      </c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5"/>
      <c r="W424" s="5"/>
      <c r="X424" s="3"/>
      <c r="Y424" s="5"/>
      <c r="Z424" s="5"/>
      <c r="AA424" s="5"/>
      <c r="AB424" s="33"/>
      <c r="AC424" s="33"/>
      <c r="AD424" s="33"/>
      <c r="AE424" s="33"/>
    </row>
    <row r="425" spans="1:31" hidden="1" x14ac:dyDescent="0.25">
      <c r="A425" s="3">
        <v>4</v>
      </c>
      <c r="B425" s="3">
        <v>1</v>
      </c>
      <c r="C425" s="3">
        <v>3</v>
      </c>
      <c r="D425" s="3"/>
      <c r="E425" s="3"/>
      <c r="F425" s="4" t="s">
        <v>5</v>
      </c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5"/>
      <c r="W425" s="5"/>
      <c r="X425" s="4"/>
      <c r="Y425" s="5"/>
      <c r="Z425" s="5"/>
      <c r="AA425" s="5"/>
      <c r="AB425" s="33"/>
      <c r="AC425" s="33"/>
      <c r="AD425" s="33"/>
      <c r="AE425" s="33"/>
    </row>
    <row r="426" spans="1:31" hidden="1" x14ac:dyDescent="0.25">
      <c r="A426" s="3">
        <v>4</v>
      </c>
      <c r="B426" s="3">
        <v>1</v>
      </c>
      <c r="C426" s="3">
        <v>3</v>
      </c>
      <c r="D426" s="3">
        <v>1</v>
      </c>
      <c r="E426" s="3"/>
      <c r="F426" s="3" t="s">
        <v>251</v>
      </c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5"/>
      <c r="W426" s="5"/>
      <c r="X426" s="3"/>
      <c r="Y426" s="5"/>
      <c r="Z426" s="5"/>
      <c r="AA426" s="5"/>
      <c r="AB426" s="33"/>
      <c r="AC426" s="33"/>
      <c r="AD426" s="33"/>
      <c r="AE426" s="33"/>
    </row>
    <row r="427" spans="1:31" x14ac:dyDescent="0.25">
      <c r="A427" s="1">
        <v>4</v>
      </c>
      <c r="B427" s="1">
        <v>1</v>
      </c>
      <c r="C427" s="1">
        <v>4</v>
      </c>
      <c r="D427" s="1"/>
      <c r="E427" s="1"/>
      <c r="F427" s="332" t="s">
        <v>6</v>
      </c>
      <c r="G427" s="45">
        <f>SUM(G428:G432)</f>
        <v>3720212</v>
      </c>
      <c r="H427" s="45">
        <f>SUM(H428:H432)</f>
        <v>0</v>
      </c>
      <c r="I427" s="45">
        <f>SUM(I428:I432)</f>
        <v>0</v>
      </c>
      <c r="J427" s="45">
        <f>SUM(J428:J432)</f>
        <v>0</v>
      </c>
      <c r="K427" s="45">
        <f>SUM(K428:K432)</f>
        <v>0</v>
      </c>
      <c r="L427" s="45"/>
      <c r="M427" s="45"/>
      <c r="N427" s="45">
        <f t="shared" ref="N427:T427" si="57">SUM(N428:N432)</f>
        <v>0</v>
      </c>
      <c r="O427" s="45">
        <f t="shared" si="57"/>
        <v>3348711</v>
      </c>
      <c r="P427" s="45">
        <f t="shared" si="57"/>
        <v>233420</v>
      </c>
      <c r="Q427" s="45">
        <f t="shared" si="57"/>
        <v>285089</v>
      </c>
      <c r="R427" s="45">
        <f t="shared" si="57"/>
        <v>57126</v>
      </c>
      <c r="S427" s="45">
        <f t="shared" si="57"/>
        <v>820348</v>
      </c>
      <c r="T427" s="45">
        <f t="shared" si="57"/>
        <v>1401772</v>
      </c>
      <c r="U427" s="45">
        <f>SUM(U428:U432)</f>
        <v>6146466</v>
      </c>
      <c r="V427" s="45">
        <f>SUM(V428:V432)</f>
        <v>6146466</v>
      </c>
      <c r="W427" s="45"/>
      <c r="X427" s="45">
        <f>SUM(X428:X432)</f>
        <v>3242993</v>
      </c>
      <c r="Y427" s="45"/>
      <c r="Z427" s="45"/>
      <c r="AA427" s="45">
        <f>SUM(AA428:AA432)</f>
        <v>3242993</v>
      </c>
      <c r="AB427" s="33"/>
      <c r="AC427" s="33"/>
      <c r="AD427" s="33"/>
      <c r="AE427" s="33"/>
    </row>
    <row r="428" spans="1:31" ht="24" hidden="1" x14ac:dyDescent="0.25">
      <c r="A428" s="3">
        <v>4</v>
      </c>
      <c r="B428" s="3">
        <v>1</v>
      </c>
      <c r="C428" s="3">
        <v>4</v>
      </c>
      <c r="D428" s="3">
        <v>1</v>
      </c>
      <c r="E428" s="3"/>
      <c r="F428" s="3" t="s">
        <v>252</v>
      </c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33"/>
      <c r="AC428" s="33"/>
      <c r="AD428" s="33"/>
      <c r="AE428" s="33"/>
    </row>
    <row r="429" spans="1:31" hidden="1" x14ac:dyDescent="0.25">
      <c r="A429" s="3">
        <v>4</v>
      </c>
      <c r="B429" s="3">
        <v>1</v>
      </c>
      <c r="C429" s="3">
        <v>4</v>
      </c>
      <c r="D429" s="3">
        <v>2</v>
      </c>
      <c r="E429" s="3"/>
      <c r="F429" s="3" t="s">
        <v>253</v>
      </c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33"/>
      <c r="AC429" s="33"/>
      <c r="AD429" s="33"/>
      <c r="AE429" s="33"/>
    </row>
    <row r="430" spans="1:31" hidden="1" x14ac:dyDescent="0.25">
      <c r="A430" s="3">
        <v>4</v>
      </c>
      <c r="B430" s="3">
        <v>1</v>
      </c>
      <c r="C430" s="3">
        <v>4</v>
      </c>
      <c r="D430" s="3">
        <v>3</v>
      </c>
      <c r="E430" s="3"/>
      <c r="F430" s="3" t="s">
        <v>254</v>
      </c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33"/>
      <c r="AC430" s="33"/>
      <c r="AD430" s="33"/>
      <c r="AE430" s="33"/>
    </row>
    <row r="431" spans="1:31" hidden="1" x14ac:dyDescent="0.25">
      <c r="A431" s="3">
        <v>4</v>
      </c>
      <c r="B431" s="3">
        <v>1</v>
      </c>
      <c r="C431" s="3">
        <v>4</v>
      </c>
      <c r="D431" s="3">
        <v>4</v>
      </c>
      <c r="E431" s="3"/>
      <c r="F431" s="3" t="s">
        <v>255</v>
      </c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33"/>
      <c r="AC431" s="33"/>
      <c r="AD431" s="33"/>
      <c r="AE431" s="33"/>
    </row>
    <row r="432" spans="1:31" x14ac:dyDescent="0.25">
      <c r="A432" s="3">
        <v>4</v>
      </c>
      <c r="B432" s="3">
        <v>1</v>
      </c>
      <c r="C432" s="3">
        <v>4</v>
      </c>
      <c r="D432" s="3">
        <v>9</v>
      </c>
      <c r="E432" s="3"/>
      <c r="F432" s="3" t="s">
        <v>256</v>
      </c>
      <c r="G432" s="5">
        <f>SUM(G433:G440)</f>
        <v>3720212</v>
      </c>
      <c r="H432" s="5">
        <f>SUM(H433:H440)</f>
        <v>0</v>
      </c>
      <c r="I432" s="5">
        <f>SUM(I433:I440)</f>
        <v>0</v>
      </c>
      <c r="J432" s="5">
        <f>SUM(J433:J440)</f>
        <v>0</v>
      </c>
      <c r="K432" s="5">
        <f>SUM(K433:K440)</f>
        <v>0</v>
      </c>
      <c r="L432" s="5"/>
      <c r="M432" s="5"/>
      <c r="N432" s="5">
        <f t="shared" ref="N432:V432" si="58">SUM(N433:N440)</f>
        <v>0</v>
      </c>
      <c r="O432" s="5">
        <f t="shared" si="58"/>
        <v>3348711</v>
      </c>
      <c r="P432" s="5">
        <f t="shared" si="58"/>
        <v>233420</v>
      </c>
      <c r="Q432" s="5">
        <f t="shared" si="58"/>
        <v>285089</v>
      </c>
      <c r="R432" s="5">
        <f t="shared" si="58"/>
        <v>57126</v>
      </c>
      <c r="S432" s="5">
        <f t="shared" si="58"/>
        <v>820348</v>
      </c>
      <c r="T432" s="5">
        <f t="shared" si="58"/>
        <v>1401772</v>
      </c>
      <c r="U432" s="5">
        <f t="shared" si="58"/>
        <v>6146466</v>
      </c>
      <c r="V432" s="5">
        <f t="shared" si="58"/>
        <v>6146466</v>
      </c>
      <c r="W432" s="5"/>
      <c r="X432" s="5">
        <f>SUM(X433:X440)</f>
        <v>3242993</v>
      </c>
      <c r="Y432" s="5"/>
      <c r="Z432" s="5"/>
      <c r="AA432" s="5">
        <f>SUM(AA433:AA440)</f>
        <v>3242993</v>
      </c>
      <c r="AB432" s="33"/>
      <c r="AC432" s="33"/>
      <c r="AD432" s="33"/>
      <c r="AE432" s="33"/>
    </row>
    <row r="433" spans="1:31" x14ac:dyDescent="0.25">
      <c r="A433" s="3"/>
      <c r="B433" s="3"/>
      <c r="C433" s="3"/>
      <c r="D433" s="3"/>
      <c r="E433" s="3"/>
      <c r="F433" s="3" t="s">
        <v>659</v>
      </c>
      <c r="G433" s="16">
        <f>181620+119067+106073+69300+124785+51480+27340+96400+276000+53100+230800+18600</f>
        <v>1354565</v>
      </c>
      <c r="H433" s="16">
        <v>0</v>
      </c>
      <c r="I433" s="16">
        <v>0</v>
      </c>
      <c r="J433" s="16">
        <v>0</v>
      </c>
      <c r="K433" s="16">
        <v>0</v>
      </c>
      <c r="L433" s="16"/>
      <c r="M433" s="16"/>
      <c r="N433" s="16">
        <v>0</v>
      </c>
      <c r="O433" s="16">
        <v>303767</v>
      </c>
      <c r="P433" s="16">
        <v>34400</v>
      </c>
      <c r="Q433" s="16">
        <v>45500</v>
      </c>
      <c r="R433" s="16">
        <v>8926</v>
      </c>
      <c r="S433" s="16">
        <v>174701</v>
      </c>
      <c r="T433" s="16">
        <f>178180+111374+94096</f>
        <v>383650</v>
      </c>
      <c r="U433" s="16">
        <f>SUM(O433:T433)</f>
        <v>950944</v>
      </c>
      <c r="V433" s="5">
        <f t="shared" ref="V433:V440" si="59">U433</f>
        <v>950944</v>
      </c>
      <c r="W433" s="5"/>
      <c r="X433" s="16">
        <v>728074</v>
      </c>
      <c r="Y433" s="5"/>
      <c r="Z433" s="5"/>
      <c r="AA433" s="5">
        <f t="shared" ref="AA433:AA440" si="60">+X433+Z433-Y433</f>
        <v>728074</v>
      </c>
      <c r="AB433" s="33"/>
      <c r="AC433" s="33"/>
      <c r="AD433" s="33"/>
      <c r="AE433" s="33"/>
    </row>
    <row r="434" spans="1:31" x14ac:dyDescent="0.25">
      <c r="A434" s="3"/>
      <c r="B434" s="3"/>
      <c r="C434" s="3"/>
      <c r="D434" s="3"/>
      <c r="E434" s="3"/>
      <c r="F434" s="3" t="s">
        <v>669</v>
      </c>
      <c r="G434" s="16">
        <f>21000+72000+3000+0</f>
        <v>96000</v>
      </c>
      <c r="H434" s="16">
        <v>0</v>
      </c>
      <c r="I434" s="16">
        <v>0</v>
      </c>
      <c r="J434" s="16">
        <v>0</v>
      </c>
      <c r="K434" s="16">
        <v>0</v>
      </c>
      <c r="L434" s="16"/>
      <c r="M434" s="16"/>
      <c r="N434" s="16">
        <v>0</v>
      </c>
      <c r="O434" s="16"/>
      <c r="P434" s="16"/>
      <c r="Q434" s="16">
        <v>78500</v>
      </c>
      <c r="R434" s="16">
        <v>33500</v>
      </c>
      <c r="S434" s="16"/>
      <c r="T434" s="16"/>
      <c r="U434" s="16">
        <f t="shared" ref="U434:U440" si="61">SUM(O434:T434)</f>
        <v>112000</v>
      </c>
      <c r="V434" s="5">
        <f t="shared" si="59"/>
        <v>112000</v>
      </c>
      <c r="W434" s="5"/>
      <c r="X434" s="16">
        <v>86000</v>
      </c>
      <c r="Y434" s="5"/>
      <c r="Z434" s="5"/>
      <c r="AA434" s="5">
        <f t="shared" si="60"/>
        <v>86000</v>
      </c>
      <c r="AB434" s="33"/>
      <c r="AC434" s="33"/>
      <c r="AD434" s="33"/>
      <c r="AE434" s="33"/>
    </row>
    <row r="435" spans="1:31" x14ac:dyDescent="0.25">
      <c r="A435" s="3"/>
      <c r="B435" s="3"/>
      <c r="C435" s="3"/>
      <c r="D435" s="3"/>
      <c r="E435" s="3"/>
      <c r="F435" s="3" t="s">
        <v>660</v>
      </c>
      <c r="G435" s="16">
        <f>5180+9096+2700+4422+0+0+90400+18300+3200+33600+26500+49780+22500</f>
        <v>265678</v>
      </c>
      <c r="H435" s="16">
        <v>0</v>
      </c>
      <c r="I435" s="16">
        <v>0</v>
      </c>
      <c r="J435" s="16">
        <v>0</v>
      </c>
      <c r="K435" s="16">
        <v>0</v>
      </c>
      <c r="L435" s="16"/>
      <c r="M435" s="16"/>
      <c r="N435" s="16">
        <v>0</v>
      </c>
      <c r="O435" s="16">
        <v>83000</v>
      </c>
      <c r="P435" s="16">
        <v>22000</v>
      </c>
      <c r="Q435" s="16">
        <v>34900</v>
      </c>
      <c r="R435" s="16">
        <v>8300</v>
      </c>
      <c r="S435" s="16">
        <v>29366</v>
      </c>
      <c r="T435" s="16">
        <f>43760+10400+52600</f>
        <v>106760</v>
      </c>
      <c r="U435" s="16">
        <f t="shared" si="61"/>
        <v>284326</v>
      </c>
      <c r="V435" s="5">
        <f t="shared" si="59"/>
        <v>284326</v>
      </c>
      <c r="W435" s="5"/>
      <c r="X435" s="16">
        <v>44188</v>
      </c>
      <c r="Y435" s="5"/>
      <c r="Z435" s="5"/>
      <c r="AA435" s="5">
        <f t="shared" si="60"/>
        <v>44188</v>
      </c>
      <c r="AB435" s="33"/>
      <c r="AC435" s="33"/>
      <c r="AD435" s="33"/>
      <c r="AE435" s="33"/>
    </row>
    <row r="436" spans="1:31" x14ac:dyDescent="0.25">
      <c r="A436" s="3"/>
      <c r="B436" s="3"/>
      <c r="C436" s="3"/>
      <c r="D436" s="3"/>
      <c r="E436" s="3"/>
      <c r="F436" s="3" t="s">
        <v>670</v>
      </c>
      <c r="G436" s="16"/>
      <c r="H436" s="16">
        <v>0</v>
      </c>
      <c r="I436" s="16">
        <v>0</v>
      </c>
      <c r="J436" s="16">
        <v>0</v>
      </c>
      <c r="K436" s="16">
        <v>0</v>
      </c>
      <c r="L436" s="16"/>
      <c r="M436" s="16"/>
      <c r="N436" s="16">
        <v>0</v>
      </c>
      <c r="O436" s="16"/>
      <c r="P436" s="16"/>
      <c r="Q436" s="16"/>
      <c r="R436" s="16"/>
      <c r="S436" s="16"/>
      <c r="T436" s="16"/>
      <c r="U436" s="16">
        <f t="shared" si="61"/>
        <v>0</v>
      </c>
      <c r="V436" s="5">
        <f t="shared" si="59"/>
        <v>0</v>
      </c>
      <c r="W436" s="5"/>
      <c r="X436" s="16">
        <v>18000</v>
      </c>
      <c r="Y436" s="5"/>
      <c r="Z436" s="5"/>
      <c r="AA436" s="5">
        <f t="shared" si="60"/>
        <v>18000</v>
      </c>
      <c r="AB436" s="33"/>
      <c r="AC436" s="33"/>
      <c r="AD436" s="33"/>
      <c r="AE436" s="33"/>
    </row>
    <row r="437" spans="1:31" x14ac:dyDescent="0.25">
      <c r="A437" s="3"/>
      <c r="B437" s="3"/>
      <c r="C437" s="3"/>
      <c r="D437" s="3"/>
      <c r="E437" s="3"/>
      <c r="F437" s="3" t="s">
        <v>661</v>
      </c>
      <c r="G437" s="16">
        <f>195+540+400+628+1290+420+2060+1</f>
        <v>5534</v>
      </c>
      <c r="H437" s="16">
        <v>0</v>
      </c>
      <c r="I437" s="16">
        <v>0</v>
      </c>
      <c r="J437" s="16">
        <v>0</v>
      </c>
      <c r="K437" s="16">
        <v>0</v>
      </c>
      <c r="L437" s="16"/>
      <c r="M437" s="16"/>
      <c r="N437" s="16">
        <v>0</v>
      </c>
      <c r="O437" s="16">
        <v>1944</v>
      </c>
      <c r="P437" s="16">
        <v>0</v>
      </c>
      <c r="Q437" s="16">
        <v>3401</v>
      </c>
      <c r="R437" s="16">
        <v>400</v>
      </c>
      <c r="S437" s="16">
        <v>3038</v>
      </c>
      <c r="T437" s="16">
        <f>0+218+242</f>
        <v>460</v>
      </c>
      <c r="U437" s="16">
        <f t="shared" si="61"/>
        <v>9243</v>
      </c>
      <c r="V437" s="5">
        <f>U437</f>
        <v>9243</v>
      </c>
      <c r="W437" s="5"/>
      <c r="X437" s="16">
        <v>5081</v>
      </c>
      <c r="Y437" s="5"/>
      <c r="Z437" s="5"/>
      <c r="AA437" s="5">
        <f t="shared" si="60"/>
        <v>5081</v>
      </c>
      <c r="AB437" s="33"/>
      <c r="AC437" s="33"/>
      <c r="AD437" s="33"/>
      <c r="AE437" s="33"/>
    </row>
    <row r="438" spans="1:31" x14ac:dyDescent="0.25">
      <c r="A438" s="3"/>
      <c r="B438" s="3"/>
      <c r="C438" s="3"/>
      <c r="D438" s="3"/>
      <c r="E438" s="3"/>
      <c r="F438" s="3" t="s">
        <v>662</v>
      </c>
      <c r="G438" s="16"/>
      <c r="H438" s="16">
        <v>0</v>
      </c>
      <c r="I438" s="16">
        <v>0</v>
      </c>
      <c r="J438" s="16">
        <v>0</v>
      </c>
      <c r="K438" s="16">
        <v>0</v>
      </c>
      <c r="L438" s="16"/>
      <c r="M438" s="16"/>
      <c r="N438" s="16">
        <v>0</v>
      </c>
      <c r="O438" s="16"/>
      <c r="P438" s="16"/>
      <c r="Q438" s="16"/>
      <c r="R438" s="16"/>
      <c r="S438" s="16"/>
      <c r="T438" s="16"/>
      <c r="U438" s="16">
        <f t="shared" si="61"/>
        <v>0</v>
      </c>
      <c r="V438" s="5">
        <f t="shared" si="59"/>
        <v>0</v>
      </c>
      <c r="W438" s="5"/>
      <c r="X438" s="16">
        <v>0</v>
      </c>
      <c r="Y438" s="5"/>
      <c r="Z438" s="5"/>
      <c r="AA438" s="5">
        <f t="shared" si="60"/>
        <v>0</v>
      </c>
      <c r="AB438" s="33"/>
      <c r="AC438" s="33"/>
      <c r="AD438" s="33"/>
      <c r="AE438" s="33"/>
    </row>
    <row r="439" spans="1:31" x14ac:dyDescent="0.25">
      <c r="A439" s="3"/>
      <c r="B439" s="3"/>
      <c r="C439" s="3"/>
      <c r="D439" s="3"/>
      <c r="E439" s="3"/>
      <c r="F439" s="3" t="s">
        <v>663</v>
      </c>
      <c r="G439" s="16">
        <f>196656+18957+0+175006+284525+175000+296734+0+0+0+105000</f>
        <v>1251878</v>
      </c>
      <c r="H439" s="16">
        <v>0</v>
      </c>
      <c r="I439" s="16">
        <v>0</v>
      </c>
      <c r="J439" s="16">
        <v>0</v>
      </c>
      <c r="K439" s="16">
        <v>0</v>
      </c>
      <c r="L439" s="16"/>
      <c r="M439" s="16"/>
      <c r="N439" s="16">
        <v>0</v>
      </c>
      <c r="O439" s="16">
        <v>2820000</v>
      </c>
      <c r="P439" s="16">
        <v>60000</v>
      </c>
      <c r="Q439" s="16"/>
      <c r="R439" s="16"/>
      <c r="S439" s="16">
        <v>488165</v>
      </c>
      <c r="T439" s="16">
        <f>81000+224666+1</f>
        <v>305667</v>
      </c>
      <c r="U439" s="16">
        <f t="shared" si="61"/>
        <v>3673832</v>
      </c>
      <c r="V439" s="5">
        <f t="shared" si="59"/>
        <v>3673832</v>
      </c>
      <c r="W439" s="5"/>
      <c r="X439" s="16">
        <v>2039869</v>
      </c>
      <c r="Y439" s="5"/>
      <c r="Z439" s="5"/>
      <c r="AA439" s="5">
        <f t="shared" si="60"/>
        <v>2039869</v>
      </c>
      <c r="AB439" s="33"/>
      <c r="AC439" s="33"/>
      <c r="AD439" s="33"/>
      <c r="AE439" s="33"/>
    </row>
    <row r="440" spans="1:31" x14ac:dyDescent="0.25">
      <c r="A440" s="3"/>
      <c r="B440" s="3"/>
      <c r="C440" s="3"/>
      <c r="D440" s="3"/>
      <c r="E440" s="3"/>
      <c r="F440" s="3" t="s">
        <v>664</v>
      </c>
      <c r="G440" s="16">
        <f>242907+350000+0+0+47072+68729+1+37848</f>
        <v>746557</v>
      </c>
      <c r="H440" s="16">
        <v>0</v>
      </c>
      <c r="I440" s="16">
        <v>0</v>
      </c>
      <c r="J440" s="16">
        <v>0</v>
      </c>
      <c r="K440" s="16">
        <v>0</v>
      </c>
      <c r="L440" s="16"/>
      <c r="M440" s="16"/>
      <c r="N440" s="16">
        <v>0</v>
      </c>
      <c r="O440" s="16">
        <v>140000</v>
      </c>
      <c r="P440" s="16">
        <v>117020</v>
      </c>
      <c r="Q440" s="16">
        <v>122788</v>
      </c>
      <c r="R440" s="16">
        <v>6000</v>
      </c>
      <c r="S440" s="16">
        <v>125078</v>
      </c>
      <c r="T440" s="16">
        <f>597067+6950+1218</f>
        <v>605235</v>
      </c>
      <c r="U440" s="16">
        <f t="shared" si="61"/>
        <v>1116121</v>
      </c>
      <c r="V440" s="5">
        <f t="shared" si="59"/>
        <v>1116121</v>
      </c>
      <c r="W440" s="5"/>
      <c r="X440" s="16">
        <v>321781</v>
      </c>
      <c r="Y440" s="5"/>
      <c r="Z440" s="5"/>
      <c r="AA440" s="5">
        <f t="shared" si="60"/>
        <v>321781</v>
      </c>
      <c r="AB440" s="33"/>
      <c r="AC440" s="33"/>
      <c r="AD440" s="33"/>
      <c r="AE440" s="33"/>
    </row>
    <row r="441" spans="1:31" x14ac:dyDescent="0.25">
      <c r="A441" s="1">
        <v>4</v>
      </c>
      <c r="B441" s="1">
        <v>1</v>
      </c>
      <c r="C441" s="1">
        <v>5</v>
      </c>
      <c r="D441" s="1"/>
      <c r="E441" s="1"/>
      <c r="F441" s="332" t="s">
        <v>7</v>
      </c>
      <c r="G441" s="45">
        <f>SUM(G442:G445)</f>
        <v>4841</v>
      </c>
      <c r="H441" s="45">
        <f>SUM(H442:H445)</f>
        <v>0</v>
      </c>
      <c r="I441" s="45">
        <f>SUM(I442:I445)</f>
        <v>0</v>
      </c>
      <c r="J441" s="45">
        <f>SUM(J442:J445)</f>
        <v>0</v>
      </c>
      <c r="K441" s="45">
        <f>SUM(K442:K445)</f>
        <v>0</v>
      </c>
      <c r="L441" s="45"/>
      <c r="M441" s="45"/>
      <c r="N441" s="45">
        <f>SUM(N442:N445)</f>
        <v>0</v>
      </c>
      <c r="O441" s="45">
        <f>SUM(O442:O445)</f>
        <v>1785</v>
      </c>
      <c r="P441" s="45">
        <f>SUM(P442:P445)</f>
        <v>3258</v>
      </c>
      <c r="Q441" s="45">
        <f>SUM(Q442:Q445)</f>
        <v>1723</v>
      </c>
      <c r="R441" s="45">
        <f>SUM(R442:R445)</f>
        <v>1043</v>
      </c>
      <c r="S441" s="45">
        <f t="shared" ref="S441:T441" si="62">SUM(S442:S445)</f>
        <v>1569</v>
      </c>
      <c r="T441" s="45">
        <f t="shared" si="62"/>
        <v>2736</v>
      </c>
      <c r="U441" s="45">
        <f>SUM(U442:U445)</f>
        <v>12114</v>
      </c>
      <c r="V441" s="45">
        <f>SUM(V442:V445)</f>
        <v>12114</v>
      </c>
      <c r="W441" s="45"/>
      <c r="X441" s="45">
        <f>SUM(X442:X445)</f>
        <v>100687</v>
      </c>
      <c r="Y441" s="45"/>
      <c r="Z441" s="45"/>
      <c r="AA441" s="45">
        <f>SUM(AA442:AA445)</f>
        <v>100687</v>
      </c>
      <c r="AB441" s="33"/>
      <c r="AC441" s="33"/>
      <c r="AD441" s="33"/>
      <c r="AE441" s="33"/>
    </row>
    <row r="442" spans="1:31" ht="24" hidden="1" x14ac:dyDescent="0.25">
      <c r="A442" s="3">
        <v>4</v>
      </c>
      <c r="B442" s="3">
        <v>1</v>
      </c>
      <c r="C442" s="3">
        <v>5</v>
      </c>
      <c r="D442" s="3">
        <v>1</v>
      </c>
      <c r="E442" s="3"/>
      <c r="F442" s="3" t="s">
        <v>257</v>
      </c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5"/>
      <c r="W442" s="5"/>
      <c r="X442" s="3"/>
      <c r="Y442" s="5"/>
      <c r="Z442" s="5"/>
      <c r="AA442" s="5"/>
      <c r="AB442" s="33"/>
      <c r="AC442" s="33"/>
      <c r="AD442" s="33"/>
      <c r="AE442" s="33"/>
    </row>
    <row r="443" spans="1:31" ht="24" hidden="1" x14ac:dyDescent="0.25">
      <c r="A443" s="3">
        <v>4</v>
      </c>
      <c r="B443" s="3">
        <v>1</v>
      </c>
      <c r="C443" s="3">
        <v>5</v>
      </c>
      <c r="D443" s="3">
        <v>2</v>
      </c>
      <c r="E443" s="3"/>
      <c r="F443" s="3" t="s">
        <v>258</v>
      </c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5"/>
      <c r="W443" s="5"/>
      <c r="X443" s="3"/>
      <c r="Y443" s="5"/>
      <c r="Z443" s="5"/>
      <c r="AA443" s="5"/>
      <c r="AB443" s="33"/>
      <c r="AC443" s="33"/>
      <c r="AD443" s="33"/>
      <c r="AE443" s="33"/>
    </row>
    <row r="444" spans="1:31" hidden="1" x14ac:dyDescent="0.25">
      <c r="A444" s="3">
        <v>4</v>
      </c>
      <c r="B444" s="3">
        <v>1</v>
      </c>
      <c r="C444" s="3">
        <v>5</v>
      </c>
      <c r="D444" s="3">
        <v>3</v>
      </c>
      <c r="E444" s="3"/>
      <c r="F444" s="3" t="s">
        <v>259</v>
      </c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5"/>
      <c r="W444" s="5"/>
      <c r="X444" s="3"/>
      <c r="Y444" s="5"/>
      <c r="Z444" s="5"/>
      <c r="AA444" s="5"/>
      <c r="AB444" s="33"/>
      <c r="AC444" s="33"/>
      <c r="AD444" s="33"/>
      <c r="AE444" s="33"/>
    </row>
    <row r="445" spans="1:31" x14ac:dyDescent="0.25">
      <c r="A445" s="3">
        <v>4</v>
      </c>
      <c r="B445" s="3">
        <v>1</v>
      </c>
      <c r="C445" s="3">
        <v>5</v>
      </c>
      <c r="D445" s="3">
        <v>9</v>
      </c>
      <c r="E445" s="3"/>
      <c r="F445" s="3" t="s">
        <v>260</v>
      </c>
      <c r="G445" s="5">
        <f>SUM(G446:G449)</f>
        <v>4841</v>
      </c>
      <c r="H445" s="5">
        <f>SUM(H446:H449)</f>
        <v>0</v>
      </c>
      <c r="I445" s="5">
        <f>SUM(I446:I449)</f>
        <v>0</v>
      </c>
      <c r="J445" s="5">
        <f>SUM(J446:J449)</f>
        <v>0</v>
      </c>
      <c r="K445" s="5">
        <f>SUM(K446:K449)</f>
        <v>0</v>
      </c>
      <c r="L445" s="5"/>
      <c r="M445" s="5"/>
      <c r="N445" s="5">
        <f>SUM(N446:N449)</f>
        <v>0</v>
      </c>
      <c r="O445" s="5">
        <f>SUM(O446:O449)</f>
        <v>1785</v>
      </c>
      <c r="P445" s="5">
        <f>SUM(P446:P449)</f>
        <v>3258</v>
      </c>
      <c r="Q445" s="5">
        <f>SUM(Q446:Q449)</f>
        <v>1723</v>
      </c>
      <c r="R445" s="5">
        <f>SUM(R446:R449)</f>
        <v>1043</v>
      </c>
      <c r="S445" s="5">
        <f t="shared" ref="S445:T445" si="63">SUM(S446:S449)</f>
        <v>1569</v>
      </c>
      <c r="T445" s="5">
        <f t="shared" si="63"/>
        <v>2736</v>
      </c>
      <c r="U445" s="5">
        <f>SUM(U446:U449)</f>
        <v>12114</v>
      </c>
      <c r="V445" s="5">
        <f>SUM(V446:V449)</f>
        <v>12114</v>
      </c>
      <c r="W445" s="5"/>
      <c r="X445" s="5">
        <f>SUM(X446:X449)</f>
        <v>100687</v>
      </c>
      <c r="Y445" s="5"/>
      <c r="Z445" s="5"/>
      <c r="AA445" s="5">
        <f>SUM(AA446:AA449)</f>
        <v>100687</v>
      </c>
      <c r="AB445" s="33"/>
      <c r="AC445" s="33"/>
      <c r="AD445" s="33"/>
      <c r="AE445" s="33"/>
    </row>
    <row r="446" spans="1:31" x14ac:dyDescent="0.25">
      <c r="A446" s="3"/>
      <c r="B446" s="3"/>
      <c r="C446" s="3"/>
      <c r="D446" s="3"/>
      <c r="E446" s="3"/>
      <c r="F446" s="3" t="s">
        <v>665</v>
      </c>
      <c r="G446" s="16">
        <f>7+27+42+40+73+86+96</f>
        <v>371</v>
      </c>
      <c r="H446" s="16">
        <v>0</v>
      </c>
      <c r="I446" s="16">
        <v>0</v>
      </c>
      <c r="J446" s="16">
        <v>0</v>
      </c>
      <c r="K446" s="16">
        <v>0</v>
      </c>
      <c r="L446" s="16"/>
      <c r="M446" s="16"/>
      <c r="N446" s="16">
        <v>0</v>
      </c>
      <c r="O446" s="16">
        <v>264</v>
      </c>
      <c r="P446" s="16">
        <v>3258</v>
      </c>
      <c r="Q446" s="16">
        <v>24</v>
      </c>
      <c r="R446" s="16">
        <v>43</v>
      </c>
      <c r="S446" s="16">
        <v>48</v>
      </c>
      <c r="T446" s="16">
        <f>10+3+367+1</f>
        <v>381</v>
      </c>
      <c r="U446" s="16">
        <f>SUM(O446:T446)</f>
        <v>4018</v>
      </c>
      <c r="V446" s="5">
        <f>U446</f>
        <v>4018</v>
      </c>
      <c r="W446" s="5"/>
      <c r="X446" s="16">
        <v>150</v>
      </c>
      <c r="Y446" s="5"/>
      <c r="Z446" s="5"/>
      <c r="AA446" s="5">
        <f>+X446+Z446-Y446</f>
        <v>150</v>
      </c>
      <c r="AB446" s="33"/>
      <c r="AC446" s="33"/>
      <c r="AD446" s="33"/>
      <c r="AE446" s="33"/>
    </row>
    <row r="447" spans="1:31" x14ac:dyDescent="0.25">
      <c r="A447" s="3"/>
      <c r="B447" s="3"/>
      <c r="C447" s="3"/>
      <c r="D447" s="3"/>
      <c r="E447" s="3"/>
      <c r="F447" s="3" t="s">
        <v>666</v>
      </c>
      <c r="G447" s="16">
        <f>963+0+411+219+274+671+945+192+27+767+1</f>
        <v>4470</v>
      </c>
      <c r="H447" s="16">
        <v>0</v>
      </c>
      <c r="I447" s="16">
        <v>0</v>
      </c>
      <c r="J447" s="16">
        <v>0</v>
      </c>
      <c r="K447" s="16">
        <v>0</v>
      </c>
      <c r="L447" s="16"/>
      <c r="M447" s="16"/>
      <c r="N447" s="16">
        <v>0</v>
      </c>
      <c r="O447" s="16">
        <v>1521</v>
      </c>
      <c r="P447" s="16">
        <v>0</v>
      </c>
      <c r="Q447" s="16">
        <v>1699</v>
      </c>
      <c r="R447" s="16">
        <v>1000</v>
      </c>
      <c r="S447" s="16">
        <v>1521</v>
      </c>
      <c r="T447" s="16">
        <f>0+2355+0</f>
        <v>2355</v>
      </c>
      <c r="U447" s="16">
        <f t="shared" ref="U447:U449" si="64">SUM(O447:T447)</f>
        <v>8096</v>
      </c>
      <c r="V447" s="5">
        <f>U447</f>
        <v>8096</v>
      </c>
      <c r="W447" s="5"/>
      <c r="X447" s="16">
        <v>9400</v>
      </c>
      <c r="Y447" s="5"/>
      <c r="Z447" s="5"/>
      <c r="AA447" s="5">
        <f>+X447+Z447-Y447</f>
        <v>9400</v>
      </c>
      <c r="AB447" s="33"/>
      <c r="AC447" s="33"/>
      <c r="AD447" s="33"/>
      <c r="AE447" s="33"/>
    </row>
    <row r="448" spans="1:31" x14ac:dyDescent="0.25">
      <c r="A448" s="3"/>
      <c r="B448" s="3"/>
      <c r="C448" s="3"/>
      <c r="D448" s="3"/>
      <c r="E448" s="3"/>
      <c r="F448" s="3" t="s">
        <v>667</v>
      </c>
      <c r="G448" s="16">
        <v>0</v>
      </c>
      <c r="H448" s="16">
        <v>0</v>
      </c>
      <c r="I448" s="16">
        <v>0</v>
      </c>
      <c r="J448" s="16">
        <v>0</v>
      </c>
      <c r="K448" s="16">
        <v>0</v>
      </c>
      <c r="L448" s="16"/>
      <c r="M448" s="16"/>
      <c r="N448" s="16">
        <v>0</v>
      </c>
      <c r="O448" s="16"/>
      <c r="P448" s="16"/>
      <c r="Q448" s="16"/>
      <c r="R448" s="16"/>
      <c r="S448" s="16"/>
      <c r="T448" s="16"/>
      <c r="U448" s="16">
        <f t="shared" si="64"/>
        <v>0</v>
      </c>
      <c r="V448" s="5">
        <f>U448</f>
        <v>0</v>
      </c>
      <c r="W448" s="5"/>
      <c r="X448" s="16">
        <v>1137</v>
      </c>
      <c r="Y448" s="5"/>
      <c r="Z448" s="5"/>
      <c r="AA448" s="5">
        <f>+X448+Z448-Y448</f>
        <v>1137</v>
      </c>
      <c r="AB448" s="33"/>
      <c r="AC448" s="33"/>
      <c r="AD448" s="33"/>
      <c r="AE448" s="33"/>
    </row>
    <row r="449" spans="1:31" x14ac:dyDescent="0.25">
      <c r="A449" s="3"/>
      <c r="B449" s="3"/>
      <c r="C449" s="3"/>
      <c r="D449" s="3"/>
      <c r="E449" s="3"/>
      <c r="F449" s="3" t="s">
        <v>696</v>
      </c>
      <c r="G449" s="16">
        <v>0</v>
      </c>
      <c r="H449" s="16">
        <v>0</v>
      </c>
      <c r="I449" s="16">
        <v>0</v>
      </c>
      <c r="J449" s="16">
        <v>0</v>
      </c>
      <c r="K449" s="16">
        <v>0</v>
      </c>
      <c r="L449" s="16"/>
      <c r="M449" s="16"/>
      <c r="N449" s="16">
        <v>0</v>
      </c>
      <c r="O449" s="16">
        <v>0</v>
      </c>
      <c r="P449" s="16">
        <v>0</v>
      </c>
      <c r="Q449" s="16">
        <v>0</v>
      </c>
      <c r="R449" s="16">
        <v>0</v>
      </c>
      <c r="S449" s="16"/>
      <c r="T449" s="16"/>
      <c r="U449" s="16">
        <f t="shared" si="64"/>
        <v>0</v>
      </c>
      <c r="V449" s="5">
        <f>U449</f>
        <v>0</v>
      </c>
      <c r="W449" s="5"/>
      <c r="X449" s="16">
        <v>90000</v>
      </c>
      <c r="Y449" s="5"/>
      <c r="Z449" s="5"/>
      <c r="AA449" s="5">
        <f>+X449+Z449-Y449</f>
        <v>90000</v>
      </c>
      <c r="AB449" s="33"/>
      <c r="AC449" s="33"/>
      <c r="AD449" s="33"/>
      <c r="AE449" s="33"/>
    </row>
    <row r="450" spans="1:31" x14ac:dyDescent="0.25">
      <c r="A450" s="1">
        <v>4</v>
      </c>
      <c r="B450" s="1">
        <v>1</v>
      </c>
      <c r="C450" s="1">
        <v>6</v>
      </c>
      <c r="D450" s="1"/>
      <c r="E450" s="1"/>
      <c r="F450" s="332" t="s">
        <v>8</v>
      </c>
      <c r="G450" s="45">
        <f>SUM(G451:G459)</f>
        <v>202545</v>
      </c>
      <c r="H450" s="45">
        <f>SUM(H451:H459)</f>
        <v>0</v>
      </c>
      <c r="I450" s="45">
        <f>SUM(I451:I459)</f>
        <v>0</v>
      </c>
      <c r="J450" s="45">
        <f>SUM(J451:J459)</f>
        <v>0</v>
      </c>
      <c r="K450" s="45">
        <f>SUM(K451:K459)</f>
        <v>0</v>
      </c>
      <c r="L450" s="45"/>
      <c r="M450" s="45"/>
      <c r="N450" s="45">
        <f>SUM(N451:N459)</f>
        <v>0</v>
      </c>
      <c r="O450" s="45">
        <f>SUM(O451:O459)</f>
        <v>0</v>
      </c>
      <c r="P450" s="45">
        <f>SUM(P451:P459)</f>
        <v>0</v>
      </c>
      <c r="Q450" s="45">
        <f>SUM(Q451:Q459)</f>
        <v>0</v>
      </c>
      <c r="R450" s="45">
        <f>SUM(R451:R459)</f>
        <v>1170</v>
      </c>
      <c r="S450" s="45">
        <f t="shared" ref="S450:T450" si="65">SUM(S451:S459)</f>
        <v>101175</v>
      </c>
      <c r="T450" s="45">
        <f t="shared" si="65"/>
        <v>450</v>
      </c>
      <c r="U450" s="45">
        <f>SUM(U451:U459)</f>
        <v>102795</v>
      </c>
      <c r="V450" s="45">
        <f>SUM(V451:V459)</f>
        <v>102795</v>
      </c>
      <c r="W450" s="45"/>
      <c r="X450" s="45">
        <f>SUM(X451:X459)</f>
        <v>161133</v>
      </c>
      <c r="Y450" s="45"/>
      <c r="Z450" s="45"/>
      <c r="AA450" s="45">
        <f>SUM(AA451:AA459)</f>
        <v>161133</v>
      </c>
      <c r="AB450" s="33"/>
      <c r="AC450" s="33"/>
      <c r="AD450" s="33"/>
      <c r="AE450" s="33"/>
    </row>
    <row r="451" spans="1:31" hidden="1" x14ac:dyDescent="0.25">
      <c r="A451" s="3">
        <v>4</v>
      </c>
      <c r="B451" s="3">
        <v>1</v>
      </c>
      <c r="C451" s="3">
        <v>6</v>
      </c>
      <c r="D451" s="3">
        <v>1</v>
      </c>
      <c r="E451" s="3"/>
      <c r="F451" s="3" t="s">
        <v>261</v>
      </c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5"/>
      <c r="W451" s="5"/>
      <c r="X451" s="3"/>
      <c r="Y451" s="5"/>
      <c r="Z451" s="5"/>
      <c r="AA451" s="5"/>
      <c r="AB451" s="33"/>
      <c r="AC451" s="33"/>
      <c r="AD451" s="33"/>
      <c r="AE451" s="33"/>
    </row>
    <row r="452" spans="1:31" hidden="1" x14ac:dyDescent="0.25">
      <c r="A452" s="3">
        <v>4</v>
      </c>
      <c r="B452" s="3">
        <v>1</v>
      </c>
      <c r="C452" s="3">
        <v>6</v>
      </c>
      <c r="D452" s="3">
        <v>2</v>
      </c>
      <c r="E452" s="3"/>
      <c r="F452" s="3" t="s">
        <v>262</v>
      </c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5"/>
      <c r="W452" s="5"/>
      <c r="X452" s="3"/>
      <c r="Y452" s="5"/>
      <c r="Z452" s="5"/>
      <c r="AA452" s="5"/>
      <c r="AB452" s="33"/>
      <c r="AC452" s="33"/>
      <c r="AD452" s="33"/>
      <c r="AE452" s="33"/>
    </row>
    <row r="453" spans="1:31" hidden="1" x14ac:dyDescent="0.25">
      <c r="A453" s="3">
        <v>4</v>
      </c>
      <c r="B453" s="3">
        <v>1</v>
      </c>
      <c r="C453" s="3">
        <v>6</v>
      </c>
      <c r="D453" s="3">
        <v>3</v>
      </c>
      <c r="E453" s="3"/>
      <c r="F453" s="3" t="s">
        <v>263</v>
      </c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5"/>
      <c r="W453" s="5"/>
      <c r="X453" s="3"/>
      <c r="Y453" s="5"/>
      <c r="Z453" s="5"/>
      <c r="AA453" s="5"/>
      <c r="AB453" s="33"/>
      <c r="AC453" s="33"/>
      <c r="AD453" s="33"/>
      <c r="AE453" s="33"/>
    </row>
    <row r="454" spans="1:31" hidden="1" x14ac:dyDescent="0.25">
      <c r="A454" s="3">
        <v>4</v>
      </c>
      <c r="B454" s="3">
        <v>1</v>
      </c>
      <c r="C454" s="3">
        <v>6</v>
      </c>
      <c r="D454" s="3">
        <v>4</v>
      </c>
      <c r="E454" s="3"/>
      <c r="F454" s="3" t="s">
        <v>264</v>
      </c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5"/>
      <c r="W454" s="5"/>
      <c r="X454" s="3"/>
      <c r="Y454" s="5"/>
      <c r="Z454" s="5"/>
      <c r="AA454" s="5"/>
      <c r="AB454" s="33"/>
      <c r="AC454" s="33"/>
      <c r="AD454" s="33"/>
      <c r="AE454" s="33"/>
    </row>
    <row r="455" spans="1:31" hidden="1" x14ac:dyDescent="0.25">
      <c r="A455" s="3">
        <v>4</v>
      </c>
      <c r="B455" s="3">
        <v>1</v>
      </c>
      <c r="C455" s="3">
        <v>6</v>
      </c>
      <c r="D455" s="3">
        <v>5</v>
      </c>
      <c r="E455" s="3"/>
      <c r="F455" s="3" t="s">
        <v>265</v>
      </c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5"/>
      <c r="W455" s="5"/>
      <c r="X455" s="3"/>
      <c r="Y455" s="5"/>
      <c r="Z455" s="5"/>
      <c r="AA455" s="5"/>
      <c r="AB455" s="33"/>
      <c r="AC455" s="33"/>
      <c r="AD455" s="33"/>
      <c r="AE455" s="33"/>
    </row>
    <row r="456" spans="1:31" ht="24" hidden="1" x14ac:dyDescent="0.25">
      <c r="A456" s="3">
        <v>4</v>
      </c>
      <c r="B456" s="3">
        <v>1</v>
      </c>
      <c r="C456" s="3">
        <v>6</v>
      </c>
      <c r="D456" s="3">
        <v>6</v>
      </c>
      <c r="E456" s="3"/>
      <c r="F456" s="3" t="s">
        <v>266</v>
      </c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5"/>
      <c r="W456" s="5"/>
      <c r="X456" s="3"/>
      <c r="Y456" s="5"/>
      <c r="Z456" s="5"/>
      <c r="AA456" s="5"/>
      <c r="AB456" s="33"/>
      <c r="AC456" s="33"/>
      <c r="AD456" s="33"/>
      <c r="AE456" s="33"/>
    </row>
    <row r="457" spans="1:31" hidden="1" x14ac:dyDescent="0.25">
      <c r="A457" s="3">
        <v>4</v>
      </c>
      <c r="B457" s="3">
        <v>1</v>
      </c>
      <c r="C457" s="3">
        <v>6</v>
      </c>
      <c r="D457" s="3">
        <v>7</v>
      </c>
      <c r="E457" s="3"/>
      <c r="F457" s="3" t="s">
        <v>267</v>
      </c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5"/>
      <c r="W457" s="5"/>
      <c r="X457" s="3"/>
      <c r="Y457" s="5"/>
      <c r="Z457" s="5"/>
      <c r="AA457" s="5"/>
      <c r="AB457" s="33"/>
      <c r="AC457" s="33"/>
      <c r="AD457" s="33"/>
      <c r="AE457" s="33"/>
    </row>
    <row r="458" spans="1:31" hidden="1" x14ac:dyDescent="0.25">
      <c r="A458" s="3">
        <v>4</v>
      </c>
      <c r="B458" s="3">
        <v>1</v>
      </c>
      <c r="C458" s="3">
        <v>6</v>
      </c>
      <c r="D458" s="3">
        <v>8</v>
      </c>
      <c r="E458" s="3"/>
      <c r="F458" s="3" t="s">
        <v>268</v>
      </c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5"/>
      <c r="W458" s="5"/>
      <c r="X458" s="3"/>
      <c r="Y458" s="5"/>
      <c r="Z458" s="5"/>
      <c r="AA458" s="5"/>
      <c r="AB458" s="33"/>
      <c r="AC458" s="33"/>
      <c r="AD458" s="33"/>
      <c r="AE458" s="33"/>
    </row>
    <row r="459" spans="1:31" x14ac:dyDescent="0.25">
      <c r="A459" s="3">
        <v>4</v>
      </c>
      <c r="B459" s="3">
        <v>1</v>
      </c>
      <c r="C459" s="3">
        <v>6</v>
      </c>
      <c r="D459" s="3">
        <v>9</v>
      </c>
      <c r="E459" s="3"/>
      <c r="F459" s="3" t="s">
        <v>269</v>
      </c>
      <c r="G459" s="5">
        <f>SUM(G460:G461)</f>
        <v>202545</v>
      </c>
      <c r="H459" s="5">
        <f>SUM(H460:H461)</f>
        <v>0</v>
      </c>
      <c r="I459" s="5">
        <f>SUM(I460:I461)</f>
        <v>0</v>
      </c>
      <c r="J459" s="5">
        <f>SUM(J460:J461)</f>
        <v>0</v>
      </c>
      <c r="K459" s="5">
        <f>SUM(K460:K461)</f>
        <v>0</v>
      </c>
      <c r="L459" s="5"/>
      <c r="M459" s="5"/>
      <c r="N459" s="5">
        <f>SUM(N460:N461)</f>
        <v>0</v>
      </c>
      <c r="O459" s="5">
        <f>SUM(O460:O461)</f>
        <v>0</v>
      </c>
      <c r="P459" s="5">
        <f>SUM(P460:P461)</f>
        <v>0</v>
      </c>
      <c r="Q459" s="5">
        <f>SUM(Q460:Q461)</f>
        <v>0</v>
      </c>
      <c r="R459" s="5">
        <f>SUM(R460:R461)</f>
        <v>1170</v>
      </c>
      <c r="S459" s="5">
        <f t="shared" ref="S459:T459" si="66">SUM(S460:S461)</f>
        <v>101175</v>
      </c>
      <c r="T459" s="5">
        <f t="shared" si="66"/>
        <v>450</v>
      </c>
      <c r="U459" s="5">
        <f>SUM(U460:U461)</f>
        <v>102795</v>
      </c>
      <c r="V459" s="5">
        <f>SUM(V460:V461)</f>
        <v>102795</v>
      </c>
      <c r="W459" s="5"/>
      <c r="X459" s="5">
        <f>SUM(X460:X461)</f>
        <v>161133</v>
      </c>
      <c r="Y459" s="5"/>
      <c r="Z459" s="5"/>
      <c r="AA459" s="5">
        <f>SUM(AA460:AA461)</f>
        <v>161133</v>
      </c>
      <c r="AB459" s="33"/>
      <c r="AC459" s="33"/>
      <c r="AD459" s="33"/>
      <c r="AE459" s="33"/>
    </row>
    <row r="460" spans="1:31" x14ac:dyDescent="0.25">
      <c r="A460" s="3"/>
      <c r="B460" s="3"/>
      <c r="C460" s="3"/>
      <c r="D460" s="3"/>
      <c r="E460" s="3"/>
      <c r="F460" s="3" t="s">
        <v>668</v>
      </c>
      <c r="G460" s="16">
        <f>14653+709+700+616+1+535-1</f>
        <v>17213</v>
      </c>
      <c r="H460" s="16">
        <v>0</v>
      </c>
      <c r="I460" s="16">
        <v>0</v>
      </c>
      <c r="J460" s="16">
        <v>0</v>
      </c>
      <c r="K460" s="16">
        <v>0</v>
      </c>
      <c r="L460" s="16"/>
      <c r="M460" s="16"/>
      <c r="N460" s="16">
        <v>0</v>
      </c>
      <c r="O460" s="16">
        <v>0</v>
      </c>
      <c r="P460" s="16">
        <v>0</v>
      </c>
      <c r="Q460" s="16">
        <v>0</v>
      </c>
      <c r="R460" s="16">
        <v>1170</v>
      </c>
      <c r="S460" s="16">
        <v>1175</v>
      </c>
      <c r="T460" s="16">
        <f>225+225</f>
        <v>450</v>
      </c>
      <c r="U460" s="16">
        <f>SUM(O460:T460)</f>
        <v>2795</v>
      </c>
      <c r="V460" s="5">
        <f>U460</f>
        <v>2795</v>
      </c>
      <c r="W460" s="5"/>
      <c r="X460" s="16">
        <v>17810</v>
      </c>
      <c r="Y460" s="5"/>
      <c r="Z460" s="5"/>
      <c r="AA460" s="5">
        <f>+X460+Z460-Y460</f>
        <v>17810</v>
      </c>
      <c r="AB460" s="33"/>
      <c r="AC460" s="33"/>
      <c r="AD460" s="33"/>
      <c r="AE460" s="33"/>
    </row>
    <row r="461" spans="1:31" x14ac:dyDescent="0.25">
      <c r="A461" s="3"/>
      <c r="B461" s="3"/>
      <c r="C461" s="3"/>
      <c r="D461" s="3"/>
      <c r="E461" s="3"/>
      <c r="F461" s="3" t="s">
        <v>664</v>
      </c>
      <c r="G461" s="16">
        <v>185332</v>
      </c>
      <c r="H461" s="16">
        <v>0</v>
      </c>
      <c r="I461" s="16">
        <v>0</v>
      </c>
      <c r="J461" s="16">
        <v>0</v>
      </c>
      <c r="K461" s="16">
        <v>0</v>
      </c>
      <c r="L461" s="16"/>
      <c r="M461" s="16"/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100000</v>
      </c>
      <c r="T461" s="16"/>
      <c r="U461" s="16">
        <f>SUM(O461:T461)</f>
        <v>100000</v>
      </c>
      <c r="V461" s="5">
        <f>U461</f>
        <v>100000</v>
      </c>
      <c r="W461" s="5"/>
      <c r="X461" s="16">
        <v>143323</v>
      </c>
      <c r="Y461" s="5"/>
      <c r="Z461" s="5"/>
      <c r="AA461" s="5">
        <f>+X461+Z461-Y461</f>
        <v>143323</v>
      </c>
      <c r="AB461" s="33"/>
      <c r="AC461" s="33"/>
      <c r="AD461" s="33"/>
      <c r="AE461" s="33"/>
    </row>
    <row r="462" spans="1:31" hidden="1" x14ac:dyDescent="0.25">
      <c r="A462" s="3">
        <v>4</v>
      </c>
      <c r="B462" s="3">
        <v>1</v>
      </c>
      <c r="C462" s="3">
        <v>7</v>
      </c>
      <c r="D462" s="3"/>
      <c r="E462" s="3"/>
      <c r="F462" s="4" t="s">
        <v>9</v>
      </c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5"/>
      <c r="W462" s="5"/>
      <c r="X462" s="4"/>
      <c r="Y462" s="5"/>
      <c r="Z462" s="5"/>
      <c r="AA462" s="5"/>
      <c r="AB462" s="33"/>
      <c r="AC462" s="33"/>
      <c r="AD462" s="33"/>
      <c r="AE462" s="33"/>
    </row>
    <row r="463" spans="1:31" hidden="1" x14ac:dyDescent="0.25">
      <c r="A463" s="3">
        <v>4</v>
      </c>
      <c r="B463" s="3">
        <v>1</v>
      </c>
      <c r="C463" s="3">
        <v>7</v>
      </c>
      <c r="D463" s="3">
        <v>1</v>
      </c>
      <c r="E463" s="3"/>
      <c r="F463" s="3" t="s">
        <v>270</v>
      </c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5"/>
      <c r="W463" s="5"/>
      <c r="X463" s="3"/>
      <c r="Y463" s="5"/>
      <c r="Z463" s="5"/>
      <c r="AA463" s="5"/>
      <c r="AB463" s="33"/>
      <c r="AC463" s="33"/>
      <c r="AD463" s="33"/>
      <c r="AE463" s="33"/>
    </row>
    <row r="464" spans="1:31" ht="24" hidden="1" x14ac:dyDescent="0.25">
      <c r="A464" s="3">
        <v>4</v>
      </c>
      <c r="B464" s="3">
        <v>1</v>
      </c>
      <c r="C464" s="3">
        <v>7</v>
      </c>
      <c r="D464" s="3">
        <v>2</v>
      </c>
      <c r="E464" s="3"/>
      <c r="F464" s="3" t="s">
        <v>271</v>
      </c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5"/>
      <c r="W464" s="5"/>
      <c r="X464" s="3"/>
      <c r="Y464" s="5"/>
      <c r="Z464" s="5"/>
      <c r="AA464" s="5"/>
      <c r="AB464" s="33"/>
      <c r="AC464" s="33"/>
      <c r="AD464" s="33"/>
      <c r="AE464" s="33"/>
    </row>
    <row r="465" spans="1:31" ht="24" hidden="1" x14ac:dyDescent="0.25">
      <c r="A465" s="3">
        <v>4</v>
      </c>
      <c r="B465" s="3">
        <v>1</v>
      </c>
      <c r="C465" s="3">
        <v>7</v>
      </c>
      <c r="D465" s="3">
        <v>3</v>
      </c>
      <c r="E465" s="3"/>
      <c r="F465" s="3" t="s">
        <v>272</v>
      </c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5"/>
      <c r="W465" s="5"/>
      <c r="X465" s="3"/>
      <c r="Y465" s="5"/>
      <c r="Z465" s="5"/>
      <c r="AA465" s="5"/>
      <c r="AB465" s="33"/>
      <c r="AC465" s="33"/>
      <c r="AD465" s="33"/>
      <c r="AE465" s="33"/>
    </row>
    <row r="466" spans="1:31" ht="24" hidden="1" x14ac:dyDescent="0.25">
      <c r="A466" s="3">
        <v>4</v>
      </c>
      <c r="B466" s="3">
        <v>1</v>
      </c>
      <c r="C466" s="3">
        <v>7</v>
      </c>
      <c r="D466" s="3">
        <v>4</v>
      </c>
      <c r="E466" s="3"/>
      <c r="F466" s="3" t="s">
        <v>273</v>
      </c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5"/>
      <c r="W466" s="5"/>
      <c r="X466" s="3"/>
      <c r="Y466" s="5"/>
      <c r="Z466" s="5"/>
      <c r="AA466" s="5"/>
      <c r="AB466" s="33"/>
      <c r="AC466" s="33"/>
      <c r="AD466" s="33"/>
      <c r="AE466" s="33"/>
    </row>
    <row r="467" spans="1:31" ht="36" hidden="1" x14ac:dyDescent="0.25">
      <c r="A467" s="3">
        <v>4</v>
      </c>
      <c r="B467" s="3">
        <v>1</v>
      </c>
      <c r="C467" s="3">
        <v>9</v>
      </c>
      <c r="D467" s="3"/>
      <c r="E467" s="3"/>
      <c r="F467" s="4" t="s">
        <v>10</v>
      </c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5"/>
      <c r="W467" s="5"/>
      <c r="X467" s="4"/>
      <c r="Y467" s="5"/>
      <c r="Z467" s="5"/>
      <c r="AA467" s="5"/>
      <c r="AB467" s="33"/>
      <c r="AC467" s="33"/>
      <c r="AD467" s="33"/>
      <c r="AE467" s="33"/>
    </row>
    <row r="468" spans="1:31" ht="36" hidden="1" x14ac:dyDescent="0.25">
      <c r="A468" s="3">
        <v>4</v>
      </c>
      <c r="B468" s="3">
        <v>1</v>
      </c>
      <c r="C468" s="3">
        <v>9</v>
      </c>
      <c r="D468" s="3">
        <v>1</v>
      </c>
      <c r="E468" s="3"/>
      <c r="F468" s="3" t="s">
        <v>274</v>
      </c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5"/>
      <c r="W468" s="5"/>
      <c r="X468" s="3"/>
      <c r="Y468" s="5"/>
      <c r="Z468" s="5"/>
      <c r="AA468" s="5"/>
      <c r="AB468" s="33"/>
      <c r="AC468" s="33"/>
      <c r="AD468" s="33"/>
      <c r="AE468" s="33"/>
    </row>
    <row r="469" spans="1:31" ht="60" hidden="1" x14ac:dyDescent="0.25">
      <c r="A469" s="3">
        <v>4</v>
      </c>
      <c r="B469" s="3">
        <v>1</v>
      </c>
      <c r="C469" s="3">
        <v>9</v>
      </c>
      <c r="D469" s="3">
        <v>2</v>
      </c>
      <c r="E469" s="3"/>
      <c r="F469" s="3" t="s">
        <v>275</v>
      </c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5"/>
      <c r="W469" s="5"/>
      <c r="X469" s="3"/>
      <c r="Y469" s="5"/>
      <c r="Z469" s="5"/>
      <c r="AA469" s="5"/>
      <c r="AB469" s="33"/>
      <c r="AC469" s="33"/>
      <c r="AD469" s="33"/>
      <c r="AE469" s="33"/>
    </row>
    <row r="470" spans="1:31" ht="36" hidden="1" x14ac:dyDescent="0.25">
      <c r="A470" s="2">
        <v>4</v>
      </c>
      <c r="B470" s="2">
        <v>2</v>
      </c>
      <c r="C470" s="2"/>
      <c r="D470" s="2"/>
      <c r="E470" s="2"/>
      <c r="F470" s="2" t="s">
        <v>276</v>
      </c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5"/>
      <c r="W470" s="5"/>
      <c r="X470" s="2"/>
      <c r="Y470" s="5"/>
      <c r="Z470" s="5"/>
      <c r="AA470" s="5"/>
      <c r="AB470" s="33"/>
      <c r="AC470" s="33"/>
      <c r="AD470" s="33"/>
      <c r="AE470" s="33"/>
    </row>
    <row r="471" spans="1:31" x14ac:dyDescent="0.25">
      <c r="A471" s="3">
        <v>4</v>
      </c>
      <c r="B471" s="3">
        <v>2</v>
      </c>
      <c r="C471" s="3">
        <v>1</v>
      </c>
      <c r="D471" s="14"/>
      <c r="E471" s="14"/>
      <c r="F471" s="330" t="s">
        <v>11</v>
      </c>
      <c r="G471" s="45">
        <f>SUM(G472:G474)</f>
        <v>12001280</v>
      </c>
      <c r="H471" s="45">
        <f>SUM(H472:H474)</f>
        <v>0</v>
      </c>
      <c r="I471" s="45">
        <f>SUM(I472:I474)</f>
        <v>0</v>
      </c>
      <c r="J471" s="45">
        <f>SUM(J472:J474)</f>
        <v>0</v>
      </c>
      <c r="K471" s="45">
        <f>SUM(K472:K474)</f>
        <v>0</v>
      </c>
      <c r="L471" s="45"/>
      <c r="M471" s="45"/>
      <c r="N471" s="45">
        <f>SUM(N472:N474)</f>
        <v>0</v>
      </c>
      <c r="O471" s="45">
        <f>SUM(O472:O474)</f>
        <v>2553000</v>
      </c>
      <c r="P471" s="45">
        <f>SUM(P472:P474)</f>
        <v>851000</v>
      </c>
      <c r="Q471" s="45">
        <f>SUM(Q472:Q474)</f>
        <v>1409000</v>
      </c>
      <c r="R471" s="45">
        <f>SUM(R472:R474)</f>
        <v>851000</v>
      </c>
      <c r="S471" s="45">
        <f t="shared" ref="S471:T471" si="67">SUM(S472:S474)</f>
        <v>3088135</v>
      </c>
      <c r="T471" s="45">
        <f t="shared" si="67"/>
        <v>12596000</v>
      </c>
      <c r="U471" s="45">
        <f>SUM(U472:U474)</f>
        <v>21348135</v>
      </c>
      <c r="V471" s="45">
        <f>SUM(V472:V474)</f>
        <v>21348135</v>
      </c>
      <c r="W471" s="331"/>
      <c r="X471" s="45">
        <f>SUM(X472:X474)</f>
        <v>23380054</v>
      </c>
      <c r="Y471" s="45"/>
      <c r="Z471" s="45"/>
      <c r="AA471" s="45">
        <f>SUM(AA472:AA474)</f>
        <v>23380054</v>
      </c>
      <c r="AB471" s="33"/>
      <c r="AC471" s="33"/>
      <c r="AD471" s="33"/>
      <c r="AE471" s="33"/>
    </row>
    <row r="472" spans="1:31" x14ac:dyDescent="0.25">
      <c r="A472" s="3">
        <v>4</v>
      </c>
      <c r="B472" s="3">
        <v>2</v>
      </c>
      <c r="C472" s="3">
        <v>1</v>
      </c>
      <c r="D472" s="3">
        <v>1</v>
      </c>
      <c r="E472" s="3"/>
      <c r="F472" s="3" t="s">
        <v>27</v>
      </c>
      <c r="G472" s="5">
        <v>12001280</v>
      </c>
      <c r="H472" s="16">
        <v>0</v>
      </c>
      <c r="I472" s="16">
        <v>0</v>
      </c>
      <c r="J472" s="16">
        <v>0</v>
      </c>
      <c r="K472" s="16">
        <v>0</v>
      </c>
      <c r="L472" s="16"/>
      <c r="M472" s="16"/>
      <c r="N472" s="16">
        <v>0</v>
      </c>
      <c r="O472" s="16">
        <v>2553000</v>
      </c>
      <c r="P472" s="16">
        <v>851000</v>
      </c>
      <c r="Q472" s="16">
        <v>1409000</v>
      </c>
      <c r="R472" s="16">
        <v>851000</v>
      </c>
      <c r="S472" s="16">
        <v>3088135</v>
      </c>
      <c r="T472" s="16">
        <f>852000+1060000+10684000</f>
        <v>12596000</v>
      </c>
      <c r="U472" s="16">
        <f>SUM(O472:T472)</f>
        <v>21348135</v>
      </c>
      <c r="V472" s="5">
        <f>U472</f>
        <v>21348135</v>
      </c>
      <c r="W472" s="5"/>
      <c r="X472" s="5">
        <v>11521231</v>
      </c>
      <c r="Y472" s="5"/>
      <c r="Z472" s="5"/>
      <c r="AA472" s="5">
        <f>X472-Y472+Z472</f>
        <v>11521231</v>
      </c>
      <c r="AB472" s="33"/>
      <c r="AC472" s="33"/>
      <c r="AD472" s="33"/>
      <c r="AE472" s="33"/>
    </row>
    <row r="473" spans="1:31" hidden="1" x14ac:dyDescent="0.25">
      <c r="A473" s="3">
        <v>4</v>
      </c>
      <c r="B473" s="3">
        <v>2</v>
      </c>
      <c r="C473" s="3">
        <v>1</v>
      </c>
      <c r="D473" s="3">
        <v>2</v>
      </c>
      <c r="E473" s="3"/>
      <c r="F473" s="3" t="s">
        <v>28</v>
      </c>
      <c r="G473" s="5">
        <v>0</v>
      </c>
      <c r="H473" s="16">
        <v>0</v>
      </c>
      <c r="I473" s="16">
        <v>0</v>
      </c>
      <c r="J473" s="16">
        <v>0</v>
      </c>
      <c r="K473" s="16">
        <v>0</v>
      </c>
      <c r="L473" s="16"/>
      <c r="M473" s="16"/>
      <c r="N473" s="16">
        <v>0</v>
      </c>
      <c r="O473" s="16">
        <v>0</v>
      </c>
      <c r="P473" s="16">
        <v>0</v>
      </c>
      <c r="Q473" s="16">
        <v>0</v>
      </c>
      <c r="R473" s="16">
        <v>0</v>
      </c>
      <c r="S473" s="16"/>
      <c r="T473" s="16"/>
      <c r="U473" s="16">
        <v>0</v>
      </c>
      <c r="V473" s="5">
        <f>U473</f>
        <v>0</v>
      </c>
      <c r="W473" s="5"/>
      <c r="X473" s="5">
        <v>0</v>
      </c>
      <c r="Y473" s="5"/>
      <c r="Z473" s="5"/>
      <c r="AA473" s="5">
        <f>X473-Y473+Z473</f>
        <v>0</v>
      </c>
      <c r="AB473" s="33"/>
      <c r="AC473" s="33"/>
      <c r="AD473" s="33"/>
      <c r="AE473" s="33"/>
    </row>
    <row r="474" spans="1:31" hidden="1" x14ac:dyDescent="0.25">
      <c r="A474" s="3">
        <v>4</v>
      </c>
      <c r="B474" s="3">
        <v>2</v>
      </c>
      <c r="C474" s="3">
        <v>1</v>
      </c>
      <c r="D474" s="3">
        <v>3</v>
      </c>
      <c r="E474" s="3"/>
      <c r="F474" s="3" t="s">
        <v>29</v>
      </c>
      <c r="G474" s="5">
        <v>0</v>
      </c>
      <c r="H474" s="16">
        <v>0</v>
      </c>
      <c r="I474" s="16">
        <v>0</v>
      </c>
      <c r="J474" s="16">
        <v>0</v>
      </c>
      <c r="K474" s="16">
        <v>0</v>
      </c>
      <c r="L474" s="16"/>
      <c r="M474" s="16"/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/>
      <c r="T474" s="16"/>
      <c r="U474" s="16">
        <v>0</v>
      </c>
      <c r="V474" s="5">
        <f>U474</f>
        <v>0</v>
      </c>
      <c r="W474" s="5"/>
      <c r="X474" s="5">
        <v>11858823</v>
      </c>
      <c r="Y474" s="5"/>
      <c r="Z474" s="5"/>
      <c r="AA474" s="5">
        <f>X474-Y474+Z474</f>
        <v>11858823</v>
      </c>
      <c r="AB474" s="33"/>
      <c r="AC474" s="33"/>
      <c r="AD474" s="33"/>
      <c r="AE474" s="33"/>
    </row>
    <row r="475" spans="1:31" ht="24" hidden="1" x14ac:dyDescent="0.25">
      <c r="A475" s="3">
        <v>4</v>
      </c>
      <c r="B475" s="3">
        <v>2</v>
      </c>
      <c r="C475" s="3">
        <v>2</v>
      </c>
      <c r="D475" s="3"/>
      <c r="E475" s="3"/>
      <c r="F475" s="4" t="s">
        <v>12</v>
      </c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5"/>
      <c r="W475" s="5"/>
      <c r="X475" s="4"/>
      <c r="Y475" s="5"/>
      <c r="Z475" s="5"/>
      <c r="AA475" s="5"/>
      <c r="AB475" s="33"/>
      <c r="AC475" s="33"/>
      <c r="AD475" s="33"/>
      <c r="AE475" s="33"/>
    </row>
    <row r="476" spans="1:31" ht="24" hidden="1" x14ac:dyDescent="0.25">
      <c r="A476" s="3">
        <v>4</v>
      </c>
      <c r="B476" s="3">
        <v>2</v>
      </c>
      <c r="C476" s="3">
        <v>2</v>
      </c>
      <c r="D476" s="3">
        <v>1</v>
      </c>
      <c r="E476" s="3"/>
      <c r="F476" s="3" t="s">
        <v>19</v>
      </c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5"/>
      <c r="W476" s="5"/>
      <c r="X476" s="3"/>
      <c r="Y476" s="5"/>
      <c r="Z476" s="5"/>
      <c r="AA476" s="5"/>
      <c r="AB476" s="33"/>
      <c r="AC476" s="33"/>
      <c r="AD476" s="33"/>
      <c r="AE476" s="33"/>
    </row>
    <row r="477" spans="1:31" hidden="1" x14ac:dyDescent="0.25">
      <c r="A477" s="3">
        <v>4</v>
      </c>
      <c r="B477" s="3">
        <v>2</v>
      </c>
      <c r="C477" s="3">
        <v>2</v>
      </c>
      <c r="D477" s="3">
        <v>2</v>
      </c>
      <c r="E477" s="3"/>
      <c r="F477" s="3" t="s">
        <v>20</v>
      </c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5"/>
      <c r="W477" s="5"/>
      <c r="X477" s="3"/>
      <c r="Y477" s="5"/>
      <c r="Z477" s="5"/>
      <c r="AA477" s="5"/>
      <c r="AB477" s="33"/>
      <c r="AC477" s="33"/>
      <c r="AD477" s="33"/>
      <c r="AE477" s="33"/>
    </row>
    <row r="478" spans="1:31" hidden="1" x14ac:dyDescent="0.25">
      <c r="A478" s="3">
        <v>4</v>
      </c>
      <c r="B478" s="3">
        <v>2</v>
      </c>
      <c r="C478" s="3">
        <v>2</v>
      </c>
      <c r="D478" s="3">
        <v>3</v>
      </c>
      <c r="E478" s="3"/>
      <c r="F478" s="3" t="s">
        <v>21</v>
      </c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5"/>
      <c r="W478" s="5"/>
      <c r="X478" s="3"/>
      <c r="Y478" s="5"/>
      <c r="Z478" s="5"/>
      <c r="AA478" s="5"/>
      <c r="AB478" s="33"/>
      <c r="AC478" s="33"/>
      <c r="AD478" s="33"/>
      <c r="AE478" s="33"/>
    </row>
    <row r="479" spans="1:31" hidden="1" x14ac:dyDescent="0.25">
      <c r="A479" s="3">
        <v>4</v>
      </c>
      <c r="B479" s="3">
        <v>2</v>
      </c>
      <c r="C479" s="3">
        <v>2</v>
      </c>
      <c r="D479" s="3">
        <v>4</v>
      </c>
      <c r="E479" s="3"/>
      <c r="F479" s="3" t="s">
        <v>22</v>
      </c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5"/>
      <c r="W479" s="5"/>
      <c r="X479" s="3"/>
      <c r="Y479" s="5"/>
      <c r="Z479" s="5"/>
      <c r="AA479" s="5"/>
      <c r="AB479" s="33"/>
      <c r="AC479" s="33"/>
      <c r="AD479" s="33"/>
      <c r="AE479" s="33"/>
    </row>
    <row r="480" spans="1:31" hidden="1" x14ac:dyDescent="0.25">
      <c r="A480" s="3">
        <v>4</v>
      </c>
      <c r="B480" s="3">
        <v>2</v>
      </c>
      <c r="C480" s="3">
        <v>2</v>
      </c>
      <c r="D480" s="3">
        <v>5</v>
      </c>
      <c r="E480" s="3"/>
      <c r="F480" s="3" t="s">
        <v>23</v>
      </c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5"/>
      <c r="W480" s="5"/>
      <c r="X480" s="3"/>
      <c r="Y480" s="5"/>
      <c r="Z480" s="5"/>
      <c r="AA480" s="5"/>
      <c r="AB480" s="33"/>
      <c r="AC480" s="33"/>
      <c r="AD480" s="33"/>
      <c r="AE480" s="33"/>
    </row>
    <row r="481" spans="1:31" hidden="1" x14ac:dyDescent="0.25">
      <c r="A481" s="2">
        <v>4</v>
      </c>
      <c r="B481" s="2">
        <v>3</v>
      </c>
      <c r="C481" s="2"/>
      <c r="D481" s="2"/>
      <c r="E481" s="2"/>
      <c r="F481" s="2" t="s">
        <v>277</v>
      </c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5"/>
      <c r="W481" s="5"/>
      <c r="X481" s="2"/>
      <c r="Y481" s="5"/>
      <c r="Z481" s="5"/>
      <c r="AA481" s="5"/>
      <c r="AB481" s="33"/>
      <c r="AC481" s="33"/>
      <c r="AD481" s="33"/>
      <c r="AE481" s="33"/>
    </row>
    <row r="482" spans="1:31" hidden="1" x14ac:dyDescent="0.25">
      <c r="A482" s="3">
        <v>4</v>
      </c>
      <c r="B482" s="3">
        <v>3</v>
      </c>
      <c r="C482" s="3">
        <v>1</v>
      </c>
      <c r="D482" s="3"/>
      <c r="E482" s="3"/>
      <c r="F482" s="4" t="s">
        <v>278</v>
      </c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5"/>
      <c r="W482" s="5"/>
      <c r="X482" s="4"/>
      <c r="Y482" s="5"/>
      <c r="Z482" s="5"/>
      <c r="AA482" s="5"/>
      <c r="AB482" s="33"/>
      <c r="AC482" s="33"/>
      <c r="AD482" s="33"/>
      <c r="AE482" s="33"/>
    </row>
    <row r="483" spans="1:31" ht="24" hidden="1" x14ac:dyDescent="0.25">
      <c r="A483" s="3">
        <v>4</v>
      </c>
      <c r="B483" s="3">
        <v>3</v>
      </c>
      <c r="C483" s="3">
        <v>1</v>
      </c>
      <c r="D483" s="3">
        <v>1</v>
      </c>
      <c r="E483" s="3"/>
      <c r="F483" s="3" t="s">
        <v>279</v>
      </c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5"/>
      <c r="W483" s="5"/>
      <c r="X483" s="3"/>
      <c r="Y483" s="5"/>
      <c r="Z483" s="5"/>
      <c r="AA483" s="5"/>
      <c r="AB483" s="33"/>
      <c r="AC483" s="33"/>
      <c r="AD483" s="33"/>
      <c r="AE483" s="33"/>
    </row>
    <row r="484" spans="1:31" hidden="1" x14ac:dyDescent="0.25">
      <c r="A484" s="3">
        <v>4</v>
      </c>
      <c r="B484" s="3">
        <v>3</v>
      </c>
      <c r="C484" s="3">
        <v>1</v>
      </c>
      <c r="D484" s="3">
        <v>9</v>
      </c>
      <c r="E484" s="3"/>
      <c r="F484" s="3" t="s">
        <v>280</v>
      </c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5"/>
      <c r="W484" s="5"/>
      <c r="X484" s="3"/>
      <c r="Y484" s="5"/>
      <c r="Z484" s="5"/>
      <c r="AA484" s="5"/>
      <c r="AB484" s="33"/>
      <c r="AC484" s="33"/>
      <c r="AD484" s="33"/>
      <c r="AE484" s="33"/>
    </row>
    <row r="485" spans="1:31" hidden="1" x14ac:dyDescent="0.25">
      <c r="A485" s="3">
        <v>4</v>
      </c>
      <c r="B485" s="3">
        <v>3</v>
      </c>
      <c r="C485" s="3">
        <v>2</v>
      </c>
      <c r="D485" s="3"/>
      <c r="E485" s="3"/>
      <c r="F485" s="4" t="s">
        <v>13</v>
      </c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5"/>
      <c r="W485" s="5"/>
      <c r="X485" s="4"/>
      <c r="Y485" s="5"/>
      <c r="Z485" s="5"/>
      <c r="AA485" s="5"/>
      <c r="AB485" s="33"/>
      <c r="AC485" s="33"/>
      <c r="AD485" s="33"/>
      <c r="AE485" s="33"/>
    </row>
    <row r="486" spans="1:31" ht="24" hidden="1" x14ac:dyDescent="0.25">
      <c r="A486" s="3">
        <v>4</v>
      </c>
      <c r="B486" s="3">
        <v>3</v>
      </c>
      <c r="C486" s="3">
        <v>2</v>
      </c>
      <c r="D486" s="3">
        <v>1</v>
      </c>
      <c r="E486" s="3"/>
      <c r="F486" s="3" t="s">
        <v>281</v>
      </c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5"/>
      <c r="W486" s="5"/>
      <c r="X486" s="3"/>
      <c r="Y486" s="5"/>
      <c r="Z486" s="5"/>
      <c r="AA486" s="5"/>
      <c r="AB486" s="33"/>
      <c r="AC486" s="33"/>
      <c r="AD486" s="33"/>
      <c r="AE486" s="33"/>
    </row>
    <row r="487" spans="1:31" ht="24" hidden="1" x14ac:dyDescent="0.25">
      <c r="A487" s="3">
        <v>4</v>
      </c>
      <c r="B487" s="3">
        <v>3</v>
      </c>
      <c r="C487" s="3">
        <v>2</v>
      </c>
      <c r="D487" s="3">
        <v>2</v>
      </c>
      <c r="E487" s="3"/>
      <c r="F487" s="3" t="s">
        <v>282</v>
      </c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5"/>
      <c r="W487" s="5"/>
      <c r="X487" s="3"/>
      <c r="Y487" s="5"/>
      <c r="Z487" s="5"/>
      <c r="AA487" s="5"/>
      <c r="AB487" s="33"/>
      <c r="AC487" s="33"/>
      <c r="AD487" s="33"/>
      <c r="AE487" s="33"/>
    </row>
    <row r="488" spans="1:31" ht="24" hidden="1" x14ac:dyDescent="0.25">
      <c r="A488" s="3">
        <v>4</v>
      </c>
      <c r="B488" s="3">
        <v>3</v>
      </c>
      <c r="C488" s="3">
        <v>2</v>
      </c>
      <c r="D488" s="3">
        <v>3</v>
      </c>
      <c r="E488" s="3"/>
      <c r="F488" s="3" t="s">
        <v>283</v>
      </c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5"/>
      <c r="W488" s="5"/>
      <c r="X488" s="3"/>
      <c r="Y488" s="5"/>
      <c r="Z488" s="5"/>
      <c r="AA488" s="5"/>
      <c r="AB488" s="33"/>
      <c r="AC488" s="33"/>
      <c r="AD488" s="33"/>
      <c r="AE488" s="33"/>
    </row>
    <row r="489" spans="1:31" ht="24" hidden="1" x14ac:dyDescent="0.25">
      <c r="A489" s="3">
        <v>4</v>
      </c>
      <c r="B489" s="3">
        <v>3</v>
      </c>
      <c r="C489" s="3">
        <v>2</v>
      </c>
      <c r="D489" s="3">
        <v>4</v>
      </c>
      <c r="E489" s="3"/>
      <c r="F489" s="3" t="s">
        <v>284</v>
      </c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5"/>
      <c r="W489" s="5"/>
      <c r="X489" s="3"/>
      <c r="Y489" s="5"/>
      <c r="Z489" s="5"/>
      <c r="AA489" s="5"/>
      <c r="AB489" s="33"/>
      <c r="AC489" s="33"/>
      <c r="AD489" s="33"/>
      <c r="AE489" s="33"/>
    </row>
    <row r="490" spans="1:31" ht="24" hidden="1" x14ac:dyDescent="0.25">
      <c r="A490" s="3">
        <v>4</v>
      </c>
      <c r="B490" s="3">
        <v>3</v>
      </c>
      <c r="C490" s="3">
        <v>2</v>
      </c>
      <c r="D490" s="3">
        <v>5</v>
      </c>
      <c r="E490" s="3"/>
      <c r="F490" s="3" t="s">
        <v>285</v>
      </c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5"/>
      <c r="W490" s="5"/>
      <c r="X490" s="3"/>
      <c r="Y490" s="5"/>
      <c r="Z490" s="5"/>
      <c r="AA490" s="5"/>
      <c r="AB490" s="33"/>
      <c r="AC490" s="33"/>
      <c r="AD490" s="33"/>
      <c r="AE490" s="33"/>
    </row>
    <row r="491" spans="1:31" ht="24" hidden="1" x14ac:dyDescent="0.25">
      <c r="A491" s="3">
        <v>4</v>
      </c>
      <c r="B491" s="3">
        <v>3</v>
      </c>
      <c r="C491" s="3">
        <v>3</v>
      </c>
      <c r="D491" s="3"/>
      <c r="E491" s="3"/>
      <c r="F491" s="4" t="s">
        <v>14</v>
      </c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5"/>
      <c r="W491" s="5"/>
      <c r="X491" s="4"/>
      <c r="Y491" s="5"/>
      <c r="Z491" s="5"/>
      <c r="AA491" s="5"/>
      <c r="AB491" s="33"/>
      <c r="AC491" s="33"/>
      <c r="AD491" s="33"/>
      <c r="AE491" s="33"/>
    </row>
    <row r="492" spans="1:31" ht="24" hidden="1" x14ac:dyDescent="0.25">
      <c r="A492" s="3">
        <v>4</v>
      </c>
      <c r="B492" s="3">
        <v>3</v>
      </c>
      <c r="C492" s="3">
        <v>3</v>
      </c>
      <c r="D492" s="3">
        <v>1</v>
      </c>
      <c r="E492" s="3"/>
      <c r="F492" s="3" t="s">
        <v>14</v>
      </c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5"/>
      <c r="W492" s="5"/>
      <c r="X492" s="3"/>
      <c r="Y492" s="5"/>
      <c r="Z492" s="5"/>
      <c r="AA492" s="5"/>
      <c r="AB492" s="33"/>
      <c r="AC492" s="33"/>
      <c r="AD492" s="33"/>
      <c r="AE492" s="33"/>
    </row>
    <row r="493" spans="1:31" hidden="1" x14ac:dyDescent="0.25">
      <c r="A493" s="3">
        <v>4</v>
      </c>
      <c r="B493" s="3">
        <v>3</v>
      </c>
      <c r="C493" s="3">
        <v>4</v>
      </c>
      <c r="D493" s="3"/>
      <c r="E493" s="3"/>
      <c r="F493" s="4" t="s">
        <v>15</v>
      </c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5"/>
      <c r="W493" s="5"/>
      <c r="X493" s="4"/>
      <c r="Y493" s="5"/>
      <c r="Z493" s="5"/>
      <c r="AA493" s="5"/>
      <c r="AB493" s="33"/>
      <c r="AC493" s="33"/>
      <c r="AD493" s="33"/>
      <c r="AE493" s="33"/>
    </row>
    <row r="494" spans="1:31" hidden="1" x14ac:dyDescent="0.25">
      <c r="A494" s="3">
        <v>4</v>
      </c>
      <c r="B494" s="3">
        <v>3</v>
      </c>
      <c r="C494" s="3">
        <v>4</v>
      </c>
      <c r="D494" s="3">
        <v>1</v>
      </c>
      <c r="E494" s="3"/>
      <c r="F494" s="3" t="s">
        <v>286</v>
      </c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5"/>
      <c r="W494" s="5"/>
      <c r="X494" s="3"/>
      <c r="Y494" s="5"/>
      <c r="Z494" s="5"/>
      <c r="AA494" s="5"/>
      <c r="AB494" s="33"/>
      <c r="AC494" s="33"/>
      <c r="AD494" s="33"/>
      <c r="AE494" s="33"/>
    </row>
    <row r="495" spans="1:31" hidden="1" x14ac:dyDescent="0.25">
      <c r="A495" s="3">
        <v>4</v>
      </c>
      <c r="B495" s="3">
        <v>3</v>
      </c>
      <c r="C495" s="3">
        <v>9</v>
      </c>
      <c r="D495" s="3"/>
      <c r="E495" s="3"/>
      <c r="F495" s="4" t="s">
        <v>16</v>
      </c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5"/>
      <c r="W495" s="5"/>
      <c r="X495" s="4"/>
      <c r="Y495" s="5"/>
      <c r="Z495" s="5"/>
      <c r="AA495" s="5"/>
      <c r="AB495" s="33"/>
      <c r="AC495" s="33"/>
      <c r="AD495" s="33"/>
      <c r="AE495" s="33"/>
    </row>
    <row r="496" spans="1:31" hidden="1" x14ac:dyDescent="0.25">
      <c r="A496" s="3">
        <v>4</v>
      </c>
      <c r="B496" s="3">
        <v>3</v>
      </c>
      <c r="C496" s="3">
        <v>9</v>
      </c>
      <c r="D496" s="3">
        <v>1</v>
      </c>
      <c r="E496" s="3"/>
      <c r="F496" s="3" t="s">
        <v>287</v>
      </c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5"/>
      <c r="W496" s="5"/>
      <c r="X496" s="3"/>
      <c r="Y496" s="5"/>
      <c r="Z496" s="5"/>
      <c r="AA496" s="5"/>
      <c r="AB496" s="33"/>
      <c r="AC496" s="33"/>
      <c r="AD496" s="33"/>
      <c r="AE496" s="33"/>
    </row>
    <row r="497" spans="1:31" hidden="1" x14ac:dyDescent="0.25">
      <c r="A497" s="3">
        <v>4</v>
      </c>
      <c r="B497" s="3">
        <v>3</v>
      </c>
      <c r="C497" s="3">
        <v>9</v>
      </c>
      <c r="D497" s="3">
        <v>2</v>
      </c>
      <c r="E497" s="3"/>
      <c r="F497" s="3" t="s">
        <v>288</v>
      </c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5"/>
      <c r="W497" s="5"/>
      <c r="X497" s="3"/>
      <c r="Y497" s="5"/>
      <c r="Z497" s="5"/>
      <c r="AA497" s="5"/>
      <c r="AB497" s="33"/>
      <c r="AC497" s="33"/>
      <c r="AD497" s="33"/>
      <c r="AE497" s="33"/>
    </row>
    <row r="498" spans="1:31" ht="24" hidden="1" x14ac:dyDescent="0.25">
      <c r="A498" s="3">
        <v>4</v>
      </c>
      <c r="B498" s="3">
        <v>3</v>
      </c>
      <c r="C498" s="3">
        <v>9</v>
      </c>
      <c r="D498" s="3">
        <v>3</v>
      </c>
      <c r="E498" s="3"/>
      <c r="F498" s="3" t="s">
        <v>289</v>
      </c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5"/>
      <c r="W498" s="5"/>
      <c r="X498" s="3"/>
      <c r="Y498" s="5"/>
      <c r="Z498" s="5"/>
      <c r="AA498" s="5"/>
      <c r="AB498" s="33"/>
      <c r="AC498" s="33"/>
      <c r="AD498" s="33"/>
      <c r="AE498" s="33"/>
    </row>
    <row r="499" spans="1:31" ht="24" hidden="1" x14ac:dyDescent="0.25">
      <c r="A499" s="3">
        <v>4</v>
      </c>
      <c r="B499" s="3">
        <v>3</v>
      </c>
      <c r="C499" s="3">
        <v>9</v>
      </c>
      <c r="D499" s="3">
        <v>4</v>
      </c>
      <c r="E499" s="3"/>
      <c r="F499" s="3" t="s">
        <v>290</v>
      </c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5"/>
      <c r="W499" s="5"/>
      <c r="X499" s="3"/>
      <c r="Y499" s="5"/>
      <c r="Z499" s="5"/>
      <c r="AA499" s="5"/>
      <c r="AB499" s="33"/>
      <c r="AC499" s="33"/>
      <c r="AD499" s="33"/>
      <c r="AE499" s="33"/>
    </row>
    <row r="500" spans="1:31" hidden="1" x14ac:dyDescent="0.25">
      <c r="A500" s="3">
        <v>4</v>
      </c>
      <c r="B500" s="3">
        <v>3</v>
      </c>
      <c r="C500" s="3">
        <v>9</v>
      </c>
      <c r="D500" s="3">
        <v>5</v>
      </c>
      <c r="E500" s="3"/>
      <c r="F500" s="3" t="s">
        <v>75</v>
      </c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5"/>
      <c r="W500" s="5"/>
      <c r="X500" s="3"/>
      <c r="Y500" s="5"/>
      <c r="Z500" s="5"/>
      <c r="AA500" s="5"/>
      <c r="AB500" s="33"/>
      <c r="AC500" s="33"/>
      <c r="AD500" s="33"/>
      <c r="AE500" s="33"/>
    </row>
    <row r="501" spans="1:31" hidden="1" x14ac:dyDescent="0.25">
      <c r="A501" s="3">
        <v>4</v>
      </c>
      <c r="B501" s="3">
        <v>3</v>
      </c>
      <c r="C501" s="3">
        <v>9</v>
      </c>
      <c r="D501" s="3">
        <v>6</v>
      </c>
      <c r="E501" s="3"/>
      <c r="F501" s="3" t="s">
        <v>291</v>
      </c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5"/>
      <c r="W501" s="5"/>
      <c r="X501" s="3"/>
      <c r="Y501" s="5"/>
      <c r="Z501" s="5"/>
      <c r="AA501" s="5"/>
      <c r="AB501" s="33"/>
      <c r="AC501" s="33"/>
      <c r="AD501" s="33"/>
      <c r="AE501" s="33"/>
    </row>
    <row r="502" spans="1:31" hidden="1" x14ac:dyDescent="0.25">
      <c r="A502" s="3">
        <v>4</v>
      </c>
      <c r="B502" s="3">
        <v>3</v>
      </c>
      <c r="C502" s="3">
        <v>9</v>
      </c>
      <c r="D502" s="3">
        <v>9</v>
      </c>
      <c r="E502" s="3"/>
      <c r="F502" s="3" t="s">
        <v>16</v>
      </c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5"/>
      <c r="W502" s="5"/>
      <c r="X502" s="3"/>
      <c r="Y502" s="5"/>
      <c r="Z502" s="5"/>
      <c r="AA502" s="5"/>
      <c r="AB502" s="33"/>
      <c r="AC502" s="33"/>
      <c r="AD502" s="33"/>
      <c r="AE502" s="33"/>
    </row>
    <row r="503" spans="1:31" x14ac:dyDescent="0.25">
      <c r="A503" s="333">
        <v>5</v>
      </c>
      <c r="B503" s="333"/>
      <c r="C503" s="333"/>
      <c r="D503" s="333"/>
      <c r="E503" s="333"/>
      <c r="F503" s="12" t="s">
        <v>292</v>
      </c>
      <c r="G503" s="7">
        <f t="shared" ref="G503:R503" si="68">G504+G606+G639+G649+G664</f>
        <v>16196320</v>
      </c>
      <c r="H503" s="7">
        <f t="shared" si="68"/>
        <v>5431090</v>
      </c>
      <c r="I503" s="7">
        <f t="shared" si="68"/>
        <v>1075153</v>
      </c>
      <c r="J503" s="7">
        <f t="shared" si="68"/>
        <v>1518906</v>
      </c>
      <c r="K503" s="7">
        <f t="shared" si="68"/>
        <v>1515196</v>
      </c>
      <c r="L503" s="7">
        <f t="shared" si="68"/>
        <v>2693678</v>
      </c>
      <c r="M503" s="7">
        <f t="shared" si="68"/>
        <v>3962665</v>
      </c>
      <c r="N503" s="7">
        <f t="shared" si="68"/>
        <v>18110852</v>
      </c>
      <c r="O503" s="7">
        <f t="shared" si="68"/>
        <v>0</v>
      </c>
      <c r="P503" s="7">
        <f t="shared" si="68"/>
        <v>0</v>
      </c>
      <c r="Q503" s="7">
        <f t="shared" si="68"/>
        <v>0</v>
      </c>
      <c r="R503" s="7">
        <f t="shared" si="68"/>
        <v>0</v>
      </c>
      <c r="S503" s="7"/>
      <c r="T503" s="7"/>
      <c r="U503" s="7">
        <f>U504+U606+U639+U649+U664</f>
        <v>424830</v>
      </c>
      <c r="V503" s="7">
        <f>V504+V606+V639+V649+V664</f>
        <v>17686022</v>
      </c>
      <c r="W503" s="7"/>
      <c r="X503" s="7">
        <f>X504+X606+X639+X649+X664</f>
        <v>27173834</v>
      </c>
      <c r="Y503" s="7"/>
      <c r="Z503" s="7"/>
      <c r="AA503" s="7">
        <f>AA504+AA606+AA639+AA649+AA664</f>
        <v>26856217</v>
      </c>
      <c r="AB503" s="33"/>
      <c r="AC503" s="33"/>
      <c r="AD503" s="33"/>
      <c r="AE503" s="33"/>
    </row>
    <row r="504" spans="1:31" x14ac:dyDescent="0.25">
      <c r="A504" s="2">
        <v>5</v>
      </c>
      <c r="B504" s="2">
        <v>1</v>
      </c>
      <c r="C504" s="2"/>
      <c r="D504" s="2"/>
      <c r="E504" s="2"/>
      <c r="F504" s="2" t="s">
        <v>293</v>
      </c>
      <c r="G504" s="21">
        <f t="shared" ref="G504:R504" si="69">+G505+G520+G552</f>
        <v>16196320</v>
      </c>
      <c r="H504" s="21">
        <f t="shared" si="69"/>
        <v>5252590</v>
      </c>
      <c r="I504" s="21">
        <f t="shared" si="69"/>
        <v>1075153</v>
      </c>
      <c r="J504" s="21">
        <f t="shared" si="69"/>
        <v>1518906</v>
      </c>
      <c r="K504" s="21">
        <f t="shared" si="69"/>
        <v>1515196</v>
      </c>
      <c r="L504" s="21">
        <f t="shared" si="69"/>
        <v>2693678</v>
      </c>
      <c r="M504" s="21">
        <f t="shared" si="69"/>
        <v>3962665</v>
      </c>
      <c r="N504" s="21">
        <f t="shared" si="69"/>
        <v>17686022</v>
      </c>
      <c r="O504" s="21">
        <f t="shared" si="69"/>
        <v>0</v>
      </c>
      <c r="P504" s="21">
        <f t="shared" si="69"/>
        <v>0</v>
      </c>
      <c r="Q504" s="21">
        <f t="shared" si="69"/>
        <v>0</v>
      </c>
      <c r="R504" s="21">
        <f t="shared" si="69"/>
        <v>0</v>
      </c>
      <c r="S504" s="21"/>
      <c r="T504" s="21"/>
      <c r="U504" s="21">
        <f>+U505+U520+U552</f>
        <v>0</v>
      </c>
      <c r="V504" s="21">
        <f>+V505+V520+V552</f>
        <v>17686022</v>
      </c>
      <c r="W504" s="21"/>
      <c r="X504" s="21">
        <f>+X505+X520+X552</f>
        <v>27034134</v>
      </c>
      <c r="Y504" s="21"/>
      <c r="Z504" s="21"/>
      <c r="AA504" s="21">
        <f>+AA505+AA520+AA552</f>
        <v>26856217</v>
      </c>
      <c r="AB504" s="33"/>
      <c r="AC504" s="33"/>
      <c r="AD504" s="33"/>
      <c r="AE504" s="33"/>
    </row>
    <row r="505" spans="1:31" x14ac:dyDescent="0.25">
      <c r="A505" s="3">
        <v>5</v>
      </c>
      <c r="B505" s="3">
        <v>1</v>
      </c>
      <c r="C505" s="3">
        <v>1</v>
      </c>
      <c r="D505" s="3"/>
      <c r="E505" s="3"/>
      <c r="F505" s="329" t="s">
        <v>79</v>
      </c>
      <c r="G505" s="46">
        <f t="shared" ref="G505:R505" si="70">+G506+G508+G510+G514+G517</f>
        <v>11693719</v>
      </c>
      <c r="H505" s="46">
        <f t="shared" si="70"/>
        <v>2835746</v>
      </c>
      <c r="I505" s="46">
        <f t="shared" si="70"/>
        <v>894250</v>
      </c>
      <c r="J505" s="46">
        <f t="shared" si="70"/>
        <v>1197344</v>
      </c>
      <c r="K505" s="46">
        <f t="shared" si="70"/>
        <v>895449</v>
      </c>
      <c r="L505" s="46">
        <f t="shared" si="70"/>
        <v>2506238</v>
      </c>
      <c r="M505" s="46">
        <f t="shared" si="70"/>
        <v>3800778</v>
      </c>
      <c r="N505" s="46">
        <f t="shared" si="70"/>
        <v>12660693</v>
      </c>
      <c r="O505" s="46">
        <f t="shared" si="70"/>
        <v>0</v>
      </c>
      <c r="P505" s="46">
        <f t="shared" si="70"/>
        <v>0</v>
      </c>
      <c r="Q505" s="46">
        <f t="shared" si="70"/>
        <v>0</v>
      </c>
      <c r="R505" s="46">
        <f t="shared" si="70"/>
        <v>0</v>
      </c>
      <c r="S505" s="46"/>
      <c r="T505" s="46"/>
      <c r="U505" s="46">
        <f>+U506+U508+U510+U514+U517</f>
        <v>0</v>
      </c>
      <c r="V505" s="46">
        <f>+V506+V508+V510+V514+V517</f>
        <v>12660693</v>
      </c>
      <c r="W505" s="46"/>
      <c r="X505" s="46">
        <f>+X506+X508+X510+X514+X517</f>
        <v>12425115</v>
      </c>
      <c r="Y505" s="46"/>
      <c r="Z505" s="46"/>
      <c r="AA505" s="46">
        <f>+AA506+AA508+AA510+AA514+AA517</f>
        <v>12294141</v>
      </c>
      <c r="AB505" s="33"/>
      <c r="AC505" s="33"/>
      <c r="AD505" s="33"/>
      <c r="AE505" s="33"/>
    </row>
    <row r="506" spans="1:31" ht="24" x14ac:dyDescent="0.25">
      <c r="A506" s="3">
        <v>5</v>
      </c>
      <c r="B506" s="3">
        <v>1</v>
      </c>
      <c r="C506" s="3">
        <v>1</v>
      </c>
      <c r="D506" s="3">
        <v>1</v>
      </c>
      <c r="E506" s="3"/>
      <c r="F506" s="3" t="s">
        <v>294</v>
      </c>
      <c r="G506" s="5">
        <f t="shared" ref="G506:U506" si="71">G507</f>
        <v>7499568</v>
      </c>
      <c r="H506" s="5">
        <f t="shared" si="71"/>
        <v>2403644</v>
      </c>
      <c r="I506" s="5">
        <f t="shared" si="71"/>
        <v>817309</v>
      </c>
      <c r="J506" s="5">
        <f t="shared" si="71"/>
        <v>817309</v>
      </c>
      <c r="K506" s="5">
        <f t="shared" si="71"/>
        <v>817309</v>
      </c>
      <c r="L506" s="5">
        <f t="shared" si="71"/>
        <v>2506238</v>
      </c>
      <c r="M506" s="5">
        <f t="shared" si="71"/>
        <v>2606483</v>
      </c>
      <c r="N506" s="5">
        <f t="shared" si="71"/>
        <v>9968292</v>
      </c>
      <c r="O506" s="5">
        <f t="shared" si="71"/>
        <v>0</v>
      </c>
      <c r="P506" s="5">
        <f t="shared" si="71"/>
        <v>0</v>
      </c>
      <c r="Q506" s="5">
        <f t="shared" si="71"/>
        <v>0</v>
      </c>
      <c r="R506" s="5">
        <f t="shared" si="71"/>
        <v>0</v>
      </c>
      <c r="S506" s="5"/>
      <c r="T506" s="5"/>
      <c r="U506" s="5">
        <f t="shared" si="71"/>
        <v>0</v>
      </c>
      <c r="V506" s="5">
        <f>V507</f>
        <v>9968292</v>
      </c>
      <c r="W506" s="5"/>
      <c r="X506" s="5">
        <f>X507</f>
        <v>7766665</v>
      </c>
      <c r="Y506" s="5"/>
      <c r="Z506" s="5"/>
      <c r="AA506" s="5">
        <f>AA507</f>
        <v>7766665</v>
      </c>
      <c r="AB506" s="33"/>
      <c r="AC506" s="33"/>
      <c r="AD506" s="33"/>
      <c r="AE506" s="33"/>
    </row>
    <row r="507" spans="1:31" x14ac:dyDescent="0.25">
      <c r="A507" s="3"/>
      <c r="B507" s="3"/>
      <c r="C507" s="3"/>
      <c r="D507" s="3"/>
      <c r="E507" s="3">
        <v>31</v>
      </c>
      <c r="F507" s="3" t="s">
        <v>593</v>
      </c>
      <c r="G507" s="5">
        <f>646717+646717+621093+1+621093+621094+621093+621093+621094+628361+628361+607889+614963-1</f>
        <v>7499568</v>
      </c>
      <c r="H507" s="5">
        <v>2403644</v>
      </c>
      <c r="I507" s="5">
        <v>817309</v>
      </c>
      <c r="J507" s="5">
        <v>817309</v>
      </c>
      <c r="K507" s="5">
        <v>817309</v>
      </c>
      <c r="L507" s="5">
        <v>2506238</v>
      </c>
      <c r="M507" s="5">
        <f>859628+873427+873427+1</f>
        <v>2606483</v>
      </c>
      <c r="N507" s="5">
        <f>SUM(H507:M507)</f>
        <v>9968292</v>
      </c>
      <c r="O507" s="3"/>
      <c r="P507" s="3"/>
      <c r="Q507" s="3"/>
      <c r="R507" s="3"/>
      <c r="S507" s="3"/>
      <c r="T507" s="3"/>
      <c r="U507" s="3"/>
      <c r="V507" s="5">
        <f>N507</f>
        <v>9968292</v>
      </c>
      <c r="W507" s="5"/>
      <c r="X507" s="16">
        <v>7766665</v>
      </c>
      <c r="Y507" s="5"/>
      <c r="Z507" s="5"/>
      <c r="AA507" s="5">
        <f>+X507+Y507-Z507</f>
        <v>7766665</v>
      </c>
      <c r="AB507" s="33"/>
      <c r="AC507" s="33"/>
      <c r="AD507" s="33"/>
      <c r="AE507" s="33"/>
    </row>
    <row r="508" spans="1:31" x14ac:dyDescent="0.25">
      <c r="A508" s="3">
        <v>5</v>
      </c>
      <c r="B508" s="3">
        <v>1</v>
      </c>
      <c r="C508" s="3">
        <v>1</v>
      </c>
      <c r="D508" s="3">
        <v>2</v>
      </c>
      <c r="E508" s="3"/>
      <c r="F508" s="3" t="s">
        <v>295</v>
      </c>
      <c r="G508" s="5">
        <f t="shared" ref="G508:U508" si="72">+G509</f>
        <v>1530014</v>
      </c>
      <c r="H508" s="5">
        <f t="shared" si="72"/>
        <v>172094</v>
      </c>
      <c r="I508" s="5">
        <f t="shared" si="72"/>
        <v>0</v>
      </c>
      <c r="J508" s="5">
        <f t="shared" si="72"/>
        <v>0</v>
      </c>
      <c r="K508" s="5">
        <f t="shared" si="72"/>
        <v>0</v>
      </c>
      <c r="L508" s="5"/>
      <c r="M508" s="5"/>
      <c r="N508" s="5">
        <f t="shared" si="72"/>
        <v>172094</v>
      </c>
      <c r="O508" s="5">
        <f t="shared" si="72"/>
        <v>0</v>
      </c>
      <c r="P508" s="5">
        <f t="shared" si="72"/>
        <v>0</v>
      </c>
      <c r="Q508" s="5">
        <f t="shared" si="72"/>
        <v>0</v>
      </c>
      <c r="R508" s="5">
        <f t="shared" si="72"/>
        <v>0</v>
      </c>
      <c r="S508" s="5"/>
      <c r="T508" s="5"/>
      <c r="U508" s="5">
        <f t="shared" si="72"/>
        <v>0</v>
      </c>
      <c r="V508" s="5">
        <f>+V509</f>
        <v>172094</v>
      </c>
      <c r="W508" s="5"/>
      <c r="X508" s="5">
        <f>+X509</f>
        <v>1778566</v>
      </c>
      <c r="Y508" s="5"/>
      <c r="Z508" s="5"/>
      <c r="AA508" s="5">
        <f>+AA509</f>
        <v>1778566</v>
      </c>
      <c r="AB508" s="33"/>
      <c r="AC508" s="33"/>
      <c r="AD508" s="33"/>
      <c r="AE508" s="33"/>
    </row>
    <row r="509" spans="1:31" x14ac:dyDescent="0.25">
      <c r="A509" s="3"/>
      <c r="B509" s="3"/>
      <c r="C509" s="3"/>
      <c r="D509" s="3"/>
      <c r="E509" s="3">
        <v>11</v>
      </c>
      <c r="F509" s="3" t="s">
        <v>594</v>
      </c>
      <c r="G509" s="5">
        <f>127192+111068+106443+111068+115692+115692+2+111068+148301+148301+148301+139052+147835-1</f>
        <v>1530014</v>
      </c>
      <c r="H509" s="5">
        <v>172094</v>
      </c>
      <c r="I509" s="5"/>
      <c r="J509" s="5"/>
      <c r="K509" s="5"/>
      <c r="L509" s="5"/>
      <c r="M509" s="5"/>
      <c r="N509" s="5">
        <f>SUM(H509:K509)</f>
        <v>172094</v>
      </c>
      <c r="O509" s="3"/>
      <c r="P509" s="3"/>
      <c r="Q509" s="3"/>
      <c r="R509" s="3"/>
      <c r="S509" s="3"/>
      <c r="T509" s="3"/>
      <c r="U509" s="3"/>
      <c r="V509" s="5">
        <f>N509</f>
        <v>172094</v>
      </c>
      <c r="W509" s="5"/>
      <c r="X509" s="16">
        <v>1778566</v>
      </c>
      <c r="Y509" s="5"/>
      <c r="Z509" s="5"/>
      <c r="AA509" s="5">
        <f>+X509+Y509-Z509</f>
        <v>1778566</v>
      </c>
      <c r="AB509" s="33"/>
      <c r="AC509" s="33"/>
      <c r="AD509" s="33"/>
      <c r="AE509" s="33"/>
    </row>
    <row r="510" spans="1:31" x14ac:dyDescent="0.25">
      <c r="A510" s="3">
        <v>5</v>
      </c>
      <c r="B510" s="3">
        <v>1</v>
      </c>
      <c r="C510" s="3">
        <v>1</v>
      </c>
      <c r="D510" s="3">
        <v>3</v>
      </c>
      <c r="E510" s="3"/>
      <c r="F510" s="3" t="s">
        <v>296</v>
      </c>
      <c r="G510" s="5">
        <f>+G511+G512+G513</f>
        <v>912557</v>
      </c>
      <c r="H510" s="5">
        <f>+H511+H512+H513</f>
        <v>4586</v>
      </c>
      <c r="I510" s="5">
        <f>+I511+I512+I513</f>
        <v>0</v>
      </c>
      <c r="J510" s="5">
        <f>+J511+J512+J513</f>
        <v>162962</v>
      </c>
      <c r="K510" s="5">
        <f>+K511+K512+K513</f>
        <v>0</v>
      </c>
      <c r="L510" s="5"/>
      <c r="M510" s="5">
        <f t="shared" ref="M510:R510" si="73">+M511+M512+M513</f>
        <v>812971</v>
      </c>
      <c r="N510" s="5">
        <f t="shared" si="73"/>
        <v>986492</v>
      </c>
      <c r="O510" s="5">
        <f t="shared" si="73"/>
        <v>0</v>
      </c>
      <c r="P510" s="5">
        <f t="shared" si="73"/>
        <v>0</v>
      </c>
      <c r="Q510" s="5">
        <f t="shared" si="73"/>
        <v>0</v>
      </c>
      <c r="R510" s="5">
        <f t="shared" si="73"/>
        <v>0</v>
      </c>
      <c r="S510" s="5"/>
      <c r="T510" s="5"/>
      <c r="U510" s="5">
        <f>+U511+U512+U513</f>
        <v>0</v>
      </c>
      <c r="V510" s="5">
        <f>+V511+V512+V513</f>
        <v>986492</v>
      </c>
      <c r="W510" s="5"/>
      <c r="X510" s="5">
        <f>+X511+X512+X513</f>
        <v>1034600</v>
      </c>
      <c r="Y510" s="5"/>
      <c r="Z510" s="5"/>
      <c r="AA510" s="5">
        <f>+AA511+AA512</f>
        <v>903626</v>
      </c>
      <c r="AB510" s="33"/>
      <c r="AC510" s="33"/>
      <c r="AD510" s="33"/>
      <c r="AE510" s="33"/>
    </row>
    <row r="511" spans="1:31" x14ac:dyDescent="0.25">
      <c r="A511" s="3"/>
      <c r="B511" s="3"/>
      <c r="C511" s="3"/>
      <c r="D511" s="3"/>
      <c r="E511" s="3"/>
      <c r="F511" s="3" t="s">
        <v>595</v>
      </c>
      <c r="G511" s="5">
        <f>139181+146801</f>
        <v>285982</v>
      </c>
      <c r="H511" s="5">
        <v>2338</v>
      </c>
      <c r="I511" s="5"/>
      <c r="J511" s="5">
        <v>162962</v>
      </c>
      <c r="K511" s="5"/>
      <c r="L511" s="5"/>
      <c r="M511" s="5">
        <f>150338+1</f>
        <v>150339</v>
      </c>
      <c r="N511" s="5">
        <f>SUM(H511:M511)</f>
        <v>315639</v>
      </c>
      <c r="O511" s="3"/>
      <c r="P511" s="3"/>
      <c r="Q511" s="3"/>
      <c r="R511" s="3"/>
      <c r="S511" s="3"/>
      <c r="T511" s="3"/>
      <c r="U511" s="3"/>
      <c r="V511" s="5">
        <f>N511</f>
        <v>315639</v>
      </c>
      <c r="W511" s="5"/>
      <c r="X511" s="16">
        <v>290047</v>
      </c>
      <c r="Y511" s="5"/>
      <c r="Z511" s="5"/>
      <c r="AA511" s="5">
        <f t="shared" ref="AA511:AA519" si="74">+X511+Y511-Z511</f>
        <v>290047</v>
      </c>
      <c r="AB511" s="33"/>
      <c r="AC511" s="33"/>
      <c r="AD511" s="33"/>
      <c r="AE511" s="33"/>
    </row>
    <row r="512" spans="1:31" x14ac:dyDescent="0.25">
      <c r="A512" s="3"/>
      <c r="B512" s="3"/>
      <c r="C512" s="3"/>
      <c r="D512" s="3"/>
      <c r="E512" s="3"/>
      <c r="F512" s="3" t="s">
        <v>596</v>
      </c>
      <c r="G512" s="5">
        <v>626575</v>
      </c>
      <c r="H512" s="5">
        <v>2248</v>
      </c>
      <c r="I512" s="5"/>
      <c r="J512" s="5"/>
      <c r="K512" s="5"/>
      <c r="L512" s="5">
        <v>5973</v>
      </c>
      <c r="M512" s="5">
        <f>662631+1</f>
        <v>662632</v>
      </c>
      <c r="N512" s="5">
        <f>SUM(H512:M512)</f>
        <v>670853</v>
      </c>
      <c r="O512" s="3"/>
      <c r="P512" s="3"/>
      <c r="Q512" s="3"/>
      <c r="R512" s="3"/>
      <c r="S512" s="3"/>
      <c r="T512" s="3"/>
      <c r="U512" s="3"/>
      <c r="V512" s="5">
        <f>N512</f>
        <v>670853</v>
      </c>
      <c r="W512" s="5"/>
      <c r="X512" s="16">
        <v>613579</v>
      </c>
      <c r="Y512" s="5"/>
      <c r="Z512" s="5"/>
      <c r="AA512" s="5">
        <f t="shared" si="74"/>
        <v>613579</v>
      </c>
      <c r="AB512" s="33"/>
      <c r="AC512" s="33"/>
      <c r="AD512" s="33"/>
      <c r="AE512" s="33"/>
    </row>
    <row r="513" spans="1:31" x14ac:dyDescent="0.25">
      <c r="A513" s="3"/>
      <c r="B513" s="3"/>
      <c r="C513" s="3"/>
      <c r="D513" s="3"/>
      <c r="E513" s="3"/>
      <c r="F513" s="3" t="s">
        <v>671</v>
      </c>
      <c r="G513" s="5">
        <v>0</v>
      </c>
      <c r="H513" s="5">
        <v>0</v>
      </c>
      <c r="I513" s="5"/>
      <c r="J513" s="5"/>
      <c r="K513" s="5"/>
      <c r="L513" s="5"/>
      <c r="M513" s="5"/>
      <c r="N513" s="5">
        <f>SUM(H513:K513)</f>
        <v>0</v>
      </c>
      <c r="O513" s="3"/>
      <c r="P513" s="3"/>
      <c r="Q513" s="3"/>
      <c r="R513" s="3"/>
      <c r="S513" s="3"/>
      <c r="T513" s="3"/>
      <c r="U513" s="3"/>
      <c r="V513" s="5">
        <f>N513</f>
        <v>0</v>
      </c>
      <c r="W513" s="5"/>
      <c r="X513" s="16">
        <v>130974</v>
      </c>
      <c r="Y513" s="5"/>
      <c r="Z513" s="5"/>
      <c r="AA513" s="5">
        <f t="shared" si="74"/>
        <v>130974</v>
      </c>
      <c r="AB513" s="33"/>
      <c r="AC513" s="33"/>
      <c r="AD513" s="33"/>
      <c r="AE513" s="33"/>
    </row>
    <row r="514" spans="1:31" x14ac:dyDescent="0.25">
      <c r="A514" s="3">
        <v>5</v>
      </c>
      <c r="B514" s="3">
        <v>1</v>
      </c>
      <c r="C514" s="3">
        <v>1</v>
      </c>
      <c r="D514" s="3">
        <v>4</v>
      </c>
      <c r="E514" s="3"/>
      <c r="F514" s="3" t="s">
        <v>297</v>
      </c>
      <c r="G514" s="5">
        <f>+G515+G516</f>
        <v>1751580</v>
      </c>
      <c r="H514" s="5">
        <f>+H515+H516</f>
        <v>255422</v>
      </c>
      <c r="I514" s="5">
        <f>+I515+I516</f>
        <v>76941</v>
      </c>
      <c r="J514" s="5">
        <f>+J515+J516</f>
        <v>217073</v>
      </c>
      <c r="K514" s="5">
        <f>+K515+K516</f>
        <v>78140</v>
      </c>
      <c r="L514" s="5"/>
      <c r="M514" s="5">
        <f t="shared" ref="M514:R514" si="75">+M515+M516</f>
        <v>381324</v>
      </c>
      <c r="N514" s="5">
        <f t="shared" si="75"/>
        <v>1533815</v>
      </c>
      <c r="O514" s="5">
        <f t="shared" si="75"/>
        <v>0</v>
      </c>
      <c r="P514" s="5">
        <f t="shared" si="75"/>
        <v>0</v>
      </c>
      <c r="Q514" s="5">
        <f t="shared" si="75"/>
        <v>0</v>
      </c>
      <c r="R514" s="5">
        <f t="shared" si="75"/>
        <v>0</v>
      </c>
      <c r="S514" s="5"/>
      <c r="T514" s="5"/>
      <c r="U514" s="5">
        <f>+U515+U516</f>
        <v>0</v>
      </c>
      <c r="V514" s="5">
        <f>+V515+V516</f>
        <v>1533815</v>
      </c>
      <c r="W514" s="5"/>
      <c r="X514" s="5">
        <f>+X515+X516</f>
        <v>1812284</v>
      </c>
      <c r="Y514" s="5"/>
      <c r="Z514" s="5"/>
      <c r="AA514" s="5">
        <f>+AA515+AA516</f>
        <v>1812284</v>
      </c>
      <c r="AB514" s="33"/>
      <c r="AC514" s="33"/>
      <c r="AD514" s="33"/>
      <c r="AE514" s="33"/>
    </row>
    <row r="515" spans="1:31" x14ac:dyDescent="0.25">
      <c r="A515" s="3"/>
      <c r="B515" s="3"/>
      <c r="C515" s="3"/>
      <c r="D515" s="3"/>
      <c r="E515" s="3"/>
      <c r="F515" s="3" t="s">
        <v>598</v>
      </c>
      <c r="G515" s="5">
        <f>107325+106647+111539+102871+103549+108793+102871+107941+109166+109166+113517+105805+2</f>
        <v>1289192</v>
      </c>
      <c r="H515" s="5">
        <v>168100</v>
      </c>
      <c r="I515" s="5">
        <v>76941</v>
      </c>
      <c r="J515" s="5">
        <v>129962</v>
      </c>
      <c r="K515" s="5">
        <v>78140</v>
      </c>
      <c r="L515" s="5">
        <v>349502</v>
      </c>
      <c r="M515" s="5">
        <f>75434+135851+84273-1</f>
        <v>295557</v>
      </c>
      <c r="N515" s="5">
        <f>SUM(H515:M515)</f>
        <v>1098202</v>
      </c>
      <c r="O515" s="3"/>
      <c r="P515" s="3"/>
      <c r="Q515" s="3"/>
      <c r="R515" s="3"/>
      <c r="S515" s="3"/>
      <c r="T515" s="3"/>
      <c r="U515" s="3"/>
      <c r="V515" s="5">
        <f>N515</f>
        <v>1098202</v>
      </c>
      <c r="W515" s="5"/>
      <c r="X515" s="16">
        <v>1318018</v>
      </c>
      <c r="Y515" s="5"/>
      <c r="Z515" s="5"/>
      <c r="AA515" s="5">
        <f t="shared" si="74"/>
        <v>1318018</v>
      </c>
      <c r="AB515" s="33"/>
      <c r="AC515" s="33"/>
      <c r="AD515" s="33"/>
      <c r="AE515" s="33"/>
    </row>
    <row r="516" spans="1:31" x14ac:dyDescent="0.25">
      <c r="A516" s="3"/>
      <c r="B516" s="3"/>
      <c r="C516" s="3"/>
      <c r="D516" s="3"/>
      <c r="E516" s="3"/>
      <c r="F516" s="3" t="s">
        <v>597</v>
      </c>
      <c r="G516" s="5">
        <f>40826+40603+29511+39080+39304+39304+39080+40940-1+41328+1+41328+30938+40146</f>
        <v>462388</v>
      </c>
      <c r="H516" s="5">
        <v>87322</v>
      </c>
      <c r="I516" s="5">
        <v>0</v>
      </c>
      <c r="J516" s="5">
        <v>87111</v>
      </c>
      <c r="K516" s="5"/>
      <c r="L516" s="5">
        <v>175413</v>
      </c>
      <c r="M516" s="5">
        <f>0+85767+0</f>
        <v>85767</v>
      </c>
      <c r="N516" s="5">
        <f>SUM(H516:M516)</f>
        <v>435613</v>
      </c>
      <c r="O516" s="3"/>
      <c r="P516" s="3"/>
      <c r="Q516" s="3"/>
      <c r="R516" s="3"/>
      <c r="S516" s="3"/>
      <c r="T516" s="3"/>
      <c r="U516" s="3"/>
      <c r="V516" s="5">
        <f>N516</f>
        <v>435613</v>
      </c>
      <c r="W516" s="5"/>
      <c r="X516" s="16">
        <v>494266</v>
      </c>
      <c r="Y516" s="5"/>
      <c r="Z516" s="5"/>
      <c r="AA516" s="5">
        <f t="shared" si="74"/>
        <v>494266</v>
      </c>
      <c r="AB516" s="33"/>
      <c r="AC516" s="33"/>
      <c r="AD516" s="33"/>
      <c r="AE516" s="33"/>
    </row>
    <row r="517" spans="1:31" x14ac:dyDescent="0.25">
      <c r="A517" s="3">
        <v>5</v>
      </c>
      <c r="B517" s="3">
        <v>1</v>
      </c>
      <c r="C517" s="3">
        <v>1</v>
      </c>
      <c r="D517" s="3">
        <v>5</v>
      </c>
      <c r="E517" s="3"/>
      <c r="F517" s="3" t="s">
        <v>298</v>
      </c>
      <c r="G517" s="16">
        <f t="shared" ref="G517:U517" si="76">G518</f>
        <v>0</v>
      </c>
      <c r="H517" s="16">
        <f t="shared" si="76"/>
        <v>0</v>
      </c>
      <c r="I517" s="16">
        <f t="shared" si="76"/>
        <v>0</v>
      </c>
      <c r="J517" s="16">
        <f t="shared" si="76"/>
        <v>0</v>
      </c>
      <c r="K517" s="16">
        <f t="shared" si="76"/>
        <v>0</v>
      </c>
      <c r="L517" s="16"/>
      <c r="M517" s="16"/>
      <c r="N517" s="16">
        <f t="shared" si="76"/>
        <v>0</v>
      </c>
      <c r="O517" s="16">
        <f t="shared" si="76"/>
        <v>0</v>
      </c>
      <c r="P517" s="16">
        <f t="shared" si="76"/>
        <v>0</v>
      </c>
      <c r="Q517" s="16">
        <f t="shared" si="76"/>
        <v>0</v>
      </c>
      <c r="R517" s="16">
        <f t="shared" si="76"/>
        <v>0</v>
      </c>
      <c r="S517" s="16"/>
      <c r="T517" s="16"/>
      <c r="U517" s="16">
        <f t="shared" si="76"/>
        <v>0</v>
      </c>
      <c r="V517" s="5">
        <v>0</v>
      </c>
      <c r="W517" s="5"/>
      <c r="X517" s="16">
        <f>X518</f>
        <v>33000</v>
      </c>
      <c r="Y517" s="5"/>
      <c r="Z517" s="5"/>
      <c r="AA517" s="5">
        <f t="shared" si="74"/>
        <v>33000</v>
      </c>
      <c r="AB517" s="33"/>
      <c r="AC517" s="33"/>
      <c r="AD517" s="33"/>
      <c r="AE517" s="33"/>
    </row>
    <row r="518" spans="1:31" x14ac:dyDescent="0.25">
      <c r="A518" s="3"/>
      <c r="B518" s="3"/>
      <c r="C518" s="3"/>
      <c r="D518" s="3"/>
      <c r="E518" s="3"/>
      <c r="F518" s="3" t="s">
        <v>674</v>
      </c>
      <c r="G518" s="5">
        <v>0</v>
      </c>
      <c r="H518" s="5">
        <v>0</v>
      </c>
      <c r="I518" s="5">
        <v>0</v>
      </c>
      <c r="J518" s="5">
        <v>0</v>
      </c>
      <c r="K518" s="5">
        <v>0</v>
      </c>
      <c r="L518" s="5"/>
      <c r="M518" s="5"/>
      <c r="N518" s="5">
        <v>0</v>
      </c>
      <c r="O518" s="16"/>
      <c r="P518" s="16"/>
      <c r="Q518" s="16"/>
      <c r="R518" s="16"/>
      <c r="S518" s="16"/>
      <c r="T518" s="16"/>
      <c r="U518" s="16"/>
      <c r="V518" s="5">
        <v>0</v>
      </c>
      <c r="W518" s="5"/>
      <c r="X518" s="16">
        <v>33000</v>
      </c>
      <c r="Y518" s="5"/>
      <c r="Z518" s="5"/>
      <c r="AA518" s="5">
        <f t="shared" si="74"/>
        <v>33000</v>
      </c>
      <c r="AB518" s="33"/>
      <c r="AC518" s="33"/>
      <c r="AD518" s="33"/>
      <c r="AE518" s="33"/>
    </row>
    <row r="519" spans="1:31" x14ac:dyDescent="0.25">
      <c r="A519" s="3">
        <v>5</v>
      </c>
      <c r="B519" s="3">
        <v>1</v>
      </c>
      <c r="C519" s="3">
        <v>1</v>
      </c>
      <c r="D519" s="3">
        <v>6</v>
      </c>
      <c r="E519" s="3"/>
      <c r="F519" s="3" t="s">
        <v>299</v>
      </c>
      <c r="G519" s="5"/>
      <c r="H519" s="5"/>
      <c r="I519" s="5"/>
      <c r="J519" s="5"/>
      <c r="K519" s="5"/>
      <c r="L519" s="5"/>
      <c r="M519" s="5"/>
      <c r="N519" s="5"/>
      <c r="O519" s="16"/>
      <c r="P519" s="16"/>
      <c r="Q519" s="16"/>
      <c r="R519" s="16"/>
      <c r="S519" s="16"/>
      <c r="T519" s="16"/>
      <c r="U519" s="16"/>
      <c r="V519" s="5">
        <f>+G519+N519-U519</f>
        <v>0</v>
      </c>
      <c r="W519" s="5"/>
      <c r="X519" s="16">
        <v>0</v>
      </c>
      <c r="Y519" s="5"/>
      <c r="Z519" s="5"/>
      <c r="AA519" s="5">
        <f t="shared" si="74"/>
        <v>0</v>
      </c>
      <c r="AB519" s="33"/>
      <c r="AC519" s="33"/>
      <c r="AD519" s="33"/>
      <c r="AE519" s="33"/>
    </row>
    <row r="520" spans="1:31" x14ac:dyDescent="0.25">
      <c r="A520" s="1">
        <v>5</v>
      </c>
      <c r="B520" s="1">
        <v>1</v>
      </c>
      <c r="C520" s="1">
        <v>2</v>
      </c>
      <c r="D520" s="1"/>
      <c r="E520" s="1"/>
      <c r="F520" s="334" t="s">
        <v>17</v>
      </c>
      <c r="G520" s="47">
        <f>+G521+G528+G531+G532+G536+G539+G541+G545+G547</f>
        <v>554279</v>
      </c>
      <c r="H520" s="47">
        <f>+H521+H528+H531+H532+H536+H539+H541+H545+H547</f>
        <v>110976</v>
      </c>
      <c r="I520" s="47">
        <f>+I521+I528+I531+I532+I536+I539+I541+I545+I547</f>
        <v>45144</v>
      </c>
      <c r="J520" s="47">
        <f>+J521+J528+J531+J532+J536+J539+J541+J545+J547</f>
        <v>43589</v>
      </c>
      <c r="K520" s="47">
        <f>+K521+K528+K531+K532+K536+K539+K541+K545+K547</f>
        <v>44418</v>
      </c>
      <c r="L520" s="47">
        <f t="shared" ref="L520:M520" si="77">+L521+L528+L531+L532+L536+L539+L541+L545+L547</f>
        <v>68209</v>
      </c>
      <c r="M520" s="47">
        <f t="shared" si="77"/>
        <v>57425</v>
      </c>
      <c r="N520" s="47">
        <f>+N521+N528+N531+N532+N536+N539+N541+N545+N547</f>
        <v>494186</v>
      </c>
      <c r="O520" s="47">
        <f>+O521+O528+O531+O532+O536+O539+O541+O545+O547</f>
        <v>0</v>
      </c>
      <c r="P520" s="47">
        <f>+P521+P528+P531+P532+P536+P539+P541+P545+P547</f>
        <v>0</v>
      </c>
      <c r="Q520" s="47">
        <f>+Q521+Q528+Q531+Q532+Q536+Q539+Q541+Q545+Q547</f>
        <v>0</v>
      </c>
      <c r="R520" s="47">
        <f>+R521+R528+R531+R532+R536+R539+R541+R545+R547</f>
        <v>0</v>
      </c>
      <c r="S520" s="47"/>
      <c r="T520" s="47"/>
      <c r="U520" s="47">
        <f>+U521+U528+U531+U532+U536+U539+U541+U545+U547</f>
        <v>0</v>
      </c>
      <c r="V520" s="47">
        <f>+V521+V528+V531+V532+V536+V539+V541+V545+V547</f>
        <v>494186</v>
      </c>
      <c r="W520" s="47"/>
      <c r="X520" s="47">
        <f>+X521+X528+X531+X532+X536+X539+X541+X545+X547</f>
        <v>314193</v>
      </c>
      <c r="Y520" s="47"/>
      <c r="Z520" s="47"/>
      <c r="AA520" s="47">
        <f>+AA521+AA528+AA531+AA532+AA536+AA539+AA541+AA545+AA547</f>
        <v>314193</v>
      </c>
      <c r="AB520" s="33"/>
      <c r="AC520" s="33"/>
      <c r="AD520" s="33"/>
      <c r="AE520" s="33"/>
    </row>
    <row r="521" spans="1:31" ht="24" x14ac:dyDescent="0.25">
      <c r="A521" s="3">
        <v>5</v>
      </c>
      <c r="B521" s="3">
        <v>1</v>
      </c>
      <c r="C521" s="3">
        <v>2</v>
      </c>
      <c r="D521" s="3">
        <v>1</v>
      </c>
      <c r="E521" s="3"/>
      <c r="F521" s="3" t="s">
        <v>300</v>
      </c>
      <c r="G521" s="5">
        <f>SUM(G522:G527)</f>
        <v>207261</v>
      </c>
      <c r="H521" s="5">
        <f t="shared" ref="H521:M521" si="78">SUM(H522:H527)</f>
        <v>52164</v>
      </c>
      <c r="I521" s="5">
        <f t="shared" si="78"/>
        <v>3417</v>
      </c>
      <c r="J521" s="5">
        <f t="shared" si="78"/>
        <v>19985</v>
      </c>
      <c r="K521" s="5">
        <f t="shared" si="78"/>
        <v>14495</v>
      </c>
      <c r="L521" s="5">
        <f t="shared" si="78"/>
        <v>68209</v>
      </c>
      <c r="M521" s="5">
        <f t="shared" si="78"/>
        <v>57425</v>
      </c>
      <c r="N521" s="5">
        <f>SUM(N522:N527)</f>
        <v>215695</v>
      </c>
      <c r="O521" s="5">
        <f>SUM(O522:O527)</f>
        <v>0</v>
      </c>
      <c r="P521" s="5">
        <f>SUM(P522:P527)</f>
        <v>0</v>
      </c>
      <c r="Q521" s="5">
        <f>SUM(Q522:Q527)</f>
        <v>0</v>
      </c>
      <c r="R521" s="5">
        <f>SUM(R522:R527)</f>
        <v>0</v>
      </c>
      <c r="S521" s="5"/>
      <c r="T521" s="5"/>
      <c r="U521" s="5">
        <f>SUM(U522:U527)</f>
        <v>0</v>
      </c>
      <c r="V521" s="5">
        <f>SUM(V522:V527)</f>
        <v>215695</v>
      </c>
      <c r="W521" s="5"/>
      <c r="X521" s="5">
        <f>SUM(X522:X527)</f>
        <v>144160</v>
      </c>
      <c r="Y521" s="5"/>
      <c r="Z521" s="5"/>
      <c r="AA521" s="5">
        <f>SUM(AA522:AA527)</f>
        <v>144160</v>
      </c>
      <c r="AB521" s="33"/>
      <c r="AC521" s="33"/>
      <c r="AD521" s="33"/>
      <c r="AE521" s="33"/>
    </row>
    <row r="522" spans="1:31" x14ac:dyDescent="0.25">
      <c r="A522" s="3"/>
      <c r="B522" s="3"/>
      <c r="C522" s="3"/>
      <c r="D522" s="3"/>
      <c r="E522" s="3"/>
      <c r="F522" s="3" t="s">
        <v>599</v>
      </c>
      <c r="G522" s="5">
        <f>2342+5264+0+35+12725+175+1+704+6497+4830-1+2640+19835</f>
        <v>55047</v>
      </c>
      <c r="H522" s="5">
        <v>4660</v>
      </c>
      <c r="I522" s="5">
        <v>1025</v>
      </c>
      <c r="J522" s="5">
        <v>8698</v>
      </c>
      <c r="K522" s="5">
        <v>2620</v>
      </c>
      <c r="L522" s="5">
        <v>12951</v>
      </c>
      <c r="M522" s="5">
        <f>4418+7151+0</f>
        <v>11569</v>
      </c>
      <c r="N522" s="5">
        <f>SUM(H522:M522)</f>
        <v>41523</v>
      </c>
      <c r="O522" s="3"/>
      <c r="P522" s="3"/>
      <c r="Q522" s="3"/>
      <c r="R522" s="3"/>
      <c r="S522" s="3"/>
      <c r="T522" s="3"/>
      <c r="U522" s="3"/>
      <c r="V522" s="5">
        <f t="shared" ref="V522:V527" si="79">N522</f>
        <v>41523</v>
      </c>
      <c r="W522" s="5"/>
      <c r="X522" s="5">
        <v>43136</v>
      </c>
      <c r="Y522" s="5"/>
      <c r="Z522" s="5"/>
      <c r="AA522" s="5">
        <f>+X522+Y522-Z522</f>
        <v>43136</v>
      </c>
      <c r="AB522" s="33"/>
      <c r="AC522" s="33"/>
      <c r="AD522" s="33"/>
      <c r="AE522" s="33"/>
    </row>
    <row r="523" spans="1:31" x14ac:dyDescent="0.25">
      <c r="A523" s="3"/>
      <c r="B523" s="3"/>
      <c r="C523" s="3"/>
      <c r="D523" s="3"/>
      <c r="E523" s="3"/>
      <c r="F523" s="3" t="s">
        <v>600</v>
      </c>
      <c r="G523" s="5">
        <v>0</v>
      </c>
      <c r="H523" s="5">
        <v>0</v>
      </c>
      <c r="I523" s="5"/>
      <c r="J523" s="5"/>
      <c r="K523" s="5"/>
      <c r="L523" s="5"/>
      <c r="M523" s="5">
        <v>0</v>
      </c>
      <c r="N523" s="5">
        <f t="shared" ref="N523:N527" si="80">SUM(H523:M523)</f>
        <v>0</v>
      </c>
      <c r="O523" s="3"/>
      <c r="P523" s="3"/>
      <c r="Q523" s="3"/>
      <c r="R523" s="3"/>
      <c r="S523" s="3"/>
      <c r="T523" s="3"/>
      <c r="U523" s="3"/>
      <c r="V523" s="5">
        <f t="shared" si="79"/>
        <v>0</v>
      </c>
      <c r="W523" s="5"/>
      <c r="X523" s="5">
        <v>0</v>
      </c>
      <c r="Y523" s="5"/>
      <c r="Z523" s="5"/>
      <c r="AA523" s="5">
        <f t="shared" ref="AA523:AA531" si="81">+X523+Y523-Z523</f>
        <v>0</v>
      </c>
      <c r="AB523" s="33"/>
      <c r="AC523" s="33"/>
      <c r="AD523" s="33"/>
      <c r="AE523" s="33"/>
    </row>
    <row r="524" spans="1:31" ht="24" x14ac:dyDescent="0.25">
      <c r="A524" s="3"/>
      <c r="B524" s="3"/>
      <c r="C524" s="3"/>
      <c r="D524" s="3"/>
      <c r="E524" s="3"/>
      <c r="F524" s="3" t="s">
        <v>601</v>
      </c>
      <c r="G524" s="5">
        <f>0+22635+10942+27371+17026+0+10327+5308+18847+1225+10048</f>
        <v>123729</v>
      </c>
      <c r="H524" s="5">
        <v>38126</v>
      </c>
      <c r="I524" s="5">
        <v>0</v>
      </c>
      <c r="J524" s="5">
        <v>6921</v>
      </c>
      <c r="K524" s="5">
        <v>7802</v>
      </c>
      <c r="L524" s="5">
        <v>48250</v>
      </c>
      <c r="M524" s="5">
        <f>6655+18007+4924</f>
        <v>29586</v>
      </c>
      <c r="N524" s="5">
        <f t="shared" si="80"/>
        <v>130685</v>
      </c>
      <c r="O524" s="3"/>
      <c r="P524" s="3"/>
      <c r="Q524" s="3"/>
      <c r="R524" s="3"/>
      <c r="S524" s="3"/>
      <c r="T524" s="3"/>
      <c r="U524" s="3"/>
      <c r="V524" s="5">
        <f t="shared" si="79"/>
        <v>130685</v>
      </c>
      <c r="W524" s="5"/>
      <c r="X524" s="5">
        <v>81687</v>
      </c>
      <c r="Y524" s="5"/>
      <c r="Z524" s="5"/>
      <c r="AA524" s="5">
        <f t="shared" si="81"/>
        <v>81687</v>
      </c>
      <c r="AB524" s="33"/>
      <c r="AC524" s="33"/>
      <c r="AD524" s="33"/>
      <c r="AE524" s="33"/>
    </row>
    <row r="525" spans="1:31" x14ac:dyDescent="0.25">
      <c r="A525" s="3"/>
      <c r="B525" s="3"/>
      <c r="C525" s="3"/>
      <c r="D525" s="3"/>
      <c r="E525" s="3"/>
      <c r="F525" s="3" t="s">
        <v>602</v>
      </c>
      <c r="G525" s="5">
        <f>98+140+245+185+150+165+2481+161+0+3791+157+82+2</f>
        <v>7657</v>
      </c>
      <c r="H525" s="5">
        <v>2237</v>
      </c>
      <c r="I525" s="5">
        <v>2350</v>
      </c>
      <c r="J525" s="5">
        <v>165</v>
      </c>
      <c r="K525" s="5">
        <v>165</v>
      </c>
      <c r="L525" s="5">
        <v>608</v>
      </c>
      <c r="M525" s="5">
        <f>0+552+226</f>
        <v>778</v>
      </c>
      <c r="N525" s="5">
        <f t="shared" si="80"/>
        <v>6303</v>
      </c>
      <c r="O525" s="3"/>
      <c r="P525" s="3"/>
      <c r="Q525" s="3"/>
      <c r="R525" s="3"/>
      <c r="S525" s="3"/>
      <c r="T525" s="3"/>
      <c r="U525" s="3"/>
      <c r="V525" s="5">
        <f t="shared" si="79"/>
        <v>6303</v>
      </c>
      <c r="W525" s="5"/>
      <c r="X525" s="5">
        <v>971</v>
      </c>
      <c r="Y525" s="5"/>
      <c r="Z525" s="5"/>
      <c r="AA525" s="5">
        <f t="shared" si="81"/>
        <v>971</v>
      </c>
      <c r="AB525" s="33"/>
      <c r="AC525" s="33"/>
      <c r="AD525" s="33"/>
      <c r="AE525" s="33"/>
    </row>
    <row r="526" spans="1:31" x14ac:dyDescent="0.25">
      <c r="A526" s="3"/>
      <c r="B526" s="3"/>
      <c r="C526" s="3"/>
      <c r="D526" s="3"/>
      <c r="E526" s="3"/>
      <c r="F526" s="3" t="s">
        <v>603</v>
      </c>
      <c r="G526" s="5">
        <f>2971+0+3784+0+5084+0+45+1879-1+823+6243+0+0</f>
        <v>20828</v>
      </c>
      <c r="H526" s="5">
        <v>7141</v>
      </c>
      <c r="I526" s="5">
        <v>42</v>
      </c>
      <c r="J526" s="5">
        <v>4201</v>
      </c>
      <c r="K526" s="5">
        <v>3908</v>
      </c>
      <c r="L526" s="5">
        <v>6400</v>
      </c>
      <c r="M526" s="5">
        <v>15492</v>
      </c>
      <c r="N526" s="5">
        <f t="shared" si="80"/>
        <v>37184</v>
      </c>
      <c r="O526" s="3"/>
      <c r="P526" s="3"/>
      <c r="Q526" s="3"/>
      <c r="R526" s="3"/>
      <c r="S526" s="3"/>
      <c r="T526" s="3"/>
      <c r="U526" s="3"/>
      <c r="V526" s="5">
        <f t="shared" si="79"/>
        <v>37184</v>
      </c>
      <c r="W526" s="5"/>
      <c r="X526" s="5">
        <v>18366</v>
      </c>
      <c r="Y526" s="5"/>
      <c r="Z526" s="5"/>
      <c r="AA526" s="5">
        <f t="shared" si="81"/>
        <v>18366</v>
      </c>
      <c r="AB526" s="33"/>
      <c r="AC526" s="33"/>
      <c r="AD526" s="33"/>
      <c r="AE526" s="33"/>
    </row>
    <row r="527" spans="1:31" x14ac:dyDescent="0.25">
      <c r="A527" s="3"/>
      <c r="B527" s="3"/>
      <c r="C527" s="3"/>
      <c r="D527" s="3"/>
      <c r="E527" s="3"/>
      <c r="F527" s="3" t="s">
        <v>604</v>
      </c>
      <c r="G527" s="5">
        <v>0</v>
      </c>
      <c r="H527" s="5">
        <v>0</v>
      </c>
      <c r="I527" s="5"/>
      <c r="J527" s="5"/>
      <c r="K527" s="5"/>
      <c r="L527" s="5"/>
      <c r="M527" s="5"/>
      <c r="N527" s="5">
        <f t="shared" si="80"/>
        <v>0</v>
      </c>
      <c r="O527" s="3"/>
      <c r="P527" s="3"/>
      <c r="Q527" s="3"/>
      <c r="R527" s="3"/>
      <c r="S527" s="3"/>
      <c r="T527" s="3"/>
      <c r="U527" s="3"/>
      <c r="V527" s="5">
        <f t="shared" si="79"/>
        <v>0</v>
      </c>
      <c r="W527" s="5"/>
      <c r="X527" s="5">
        <v>0</v>
      </c>
      <c r="Y527" s="5"/>
      <c r="Z527" s="5"/>
      <c r="AA527" s="5">
        <f t="shared" si="81"/>
        <v>0</v>
      </c>
      <c r="AB527" s="33"/>
      <c r="AC527" s="33"/>
      <c r="AD527" s="33"/>
      <c r="AE527" s="33"/>
    </row>
    <row r="528" spans="1:31" x14ac:dyDescent="0.25">
      <c r="A528" s="3">
        <v>5</v>
      </c>
      <c r="B528" s="3">
        <v>1</v>
      </c>
      <c r="C528" s="3">
        <v>2</v>
      </c>
      <c r="D528" s="3">
        <v>2</v>
      </c>
      <c r="E528" s="3"/>
      <c r="F528" s="3" t="s">
        <v>301</v>
      </c>
      <c r="G528" s="5">
        <f>SUM(G529:G530)</f>
        <v>231916</v>
      </c>
      <c r="H528" s="5">
        <f>SUM(H529:H530)</f>
        <v>34293</v>
      </c>
      <c r="I528" s="5">
        <f>SUM(I529:I530)</f>
        <v>9030</v>
      </c>
      <c r="J528" s="5">
        <f>SUM(J529:J530)</f>
        <v>5710</v>
      </c>
      <c r="K528" s="5">
        <f>SUM(K529:K530)</f>
        <v>16352</v>
      </c>
      <c r="L528" s="5"/>
      <c r="M528" s="5"/>
      <c r="N528" s="5">
        <f>SUM(N529:N530)</f>
        <v>116793</v>
      </c>
      <c r="O528" s="5">
        <f>SUM(O529:O530)</f>
        <v>0</v>
      </c>
      <c r="P528" s="5">
        <f>SUM(P529:P530)</f>
        <v>0</v>
      </c>
      <c r="Q528" s="5">
        <f>SUM(Q529:Q530)</f>
        <v>0</v>
      </c>
      <c r="R528" s="5">
        <f>SUM(R529:R530)</f>
        <v>0</v>
      </c>
      <c r="S528" s="5"/>
      <c r="T528" s="5"/>
      <c r="U528" s="5">
        <f>SUM(U529:U530)</f>
        <v>0</v>
      </c>
      <c r="V528" s="5">
        <f>SUM(V529:V530)</f>
        <v>116793</v>
      </c>
      <c r="W528" s="5"/>
      <c r="X528" s="5">
        <f>SUM(X529:X530)</f>
        <v>75674</v>
      </c>
      <c r="Y528" s="5"/>
      <c r="Z528" s="5"/>
      <c r="AA528" s="5">
        <f>SUM(AA529:AA530)</f>
        <v>75674</v>
      </c>
      <c r="AB528" s="33"/>
      <c r="AC528" s="33"/>
      <c r="AD528" s="33"/>
      <c r="AE528" s="33"/>
    </row>
    <row r="529" spans="1:31" x14ac:dyDescent="0.25">
      <c r="A529" s="3"/>
      <c r="B529" s="3"/>
      <c r="C529" s="3"/>
      <c r="D529" s="3"/>
      <c r="E529" s="3"/>
      <c r="F529" s="3" t="s">
        <v>605</v>
      </c>
      <c r="G529" s="5">
        <f>4690+12805+14149+6871+33209+19407-1+39761+24656+19505+14703+7983+32319</f>
        <v>230057</v>
      </c>
      <c r="H529" s="5">
        <v>34293</v>
      </c>
      <c r="I529" s="5">
        <v>9030</v>
      </c>
      <c r="J529" s="5">
        <v>5710</v>
      </c>
      <c r="K529" s="5">
        <v>16226</v>
      </c>
      <c r="L529" s="5">
        <v>29821</v>
      </c>
      <c r="M529" s="5">
        <f>7207+7142+6190</f>
        <v>20539</v>
      </c>
      <c r="N529" s="5">
        <f>SUM(H529:M529)</f>
        <v>115619</v>
      </c>
      <c r="O529" s="3"/>
      <c r="P529" s="3"/>
      <c r="Q529" s="3"/>
      <c r="R529" s="3"/>
      <c r="S529" s="3"/>
      <c r="T529" s="3"/>
      <c r="U529" s="3"/>
      <c r="V529" s="5">
        <f>N529</f>
        <v>115619</v>
      </c>
      <c r="W529" s="5"/>
      <c r="X529" s="5">
        <v>74811</v>
      </c>
      <c r="Y529" s="5"/>
      <c r="Z529" s="5"/>
      <c r="AA529" s="5">
        <f t="shared" si="81"/>
        <v>74811</v>
      </c>
      <c r="AB529" s="33"/>
      <c r="AC529" s="33"/>
      <c r="AD529" s="33"/>
      <c r="AE529" s="33"/>
    </row>
    <row r="530" spans="1:31" x14ac:dyDescent="0.25">
      <c r="A530" s="3"/>
      <c r="B530" s="3"/>
      <c r="C530" s="3"/>
      <c r="D530" s="3"/>
      <c r="E530" s="3"/>
      <c r="F530" s="3" t="s">
        <v>606</v>
      </c>
      <c r="G530" s="5">
        <f>73+0+0+790+0+84+912</f>
        <v>1859</v>
      </c>
      <c r="H530" s="5">
        <v>0</v>
      </c>
      <c r="I530" s="5">
        <v>0</v>
      </c>
      <c r="J530" s="5">
        <v>0</v>
      </c>
      <c r="K530" s="5">
        <v>126</v>
      </c>
      <c r="L530" s="5">
        <v>229</v>
      </c>
      <c r="M530" s="5">
        <f>330+489+0</f>
        <v>819</v>
      </c>
      <c r="N530" s="5">
        <f t="shared" ref="N530" si="82">SUM(H530:M530)</f>
        <v>1174</v>
      </c>
      <c r="O530" s="3"/>
      <c r="P530" s="3"/>
      <c r="Q530" s="3"/>
      <c r="R530" s="3"/>
      <c r="S530" s="3"/>
      <c r="T530" s="3"/>
      <c r="U530" s="3"/>
      <c r="V530" s="5">
        <f>N530</f>
        <v>1174</v>
      </c>
      <c r="W530" s="5"/>
      <c r="X530" s="5">
        <v>863</v>
      </c>
      <c r="Y530" s="5"/>
      <c r="Z530" s="5"/>
      <c r="AA530" s="5">
        <f t="shared" si="81"/>
        <v>863</v>
      </c>
      <c r="AB530" s="33"/>
      <c r="AC530" s="33"/>
      <c r="AD530" s="33"/>
      <c r="AE530" s="33"/>
    </row>
    <row r="531" spans="1:31" ht="24" x14ac:dyDescent="0.25">
      <c r="A531" s="3">
        <v>5</v>
      </c>
      <c r="B531" s="3">
        <v>1</v>
      </c>
      <c r="C531" s="3">
        <v>2</v>
      </c>
      <c r="D531" s="3">
        <v>3</v>
      </c>
      <c r="E531" s="3"/>
      <c r="F531" s="3" t="s">
        <v>302</v>
      </c>
      <c r="G531" s="5"/>
      <c r="H531" s="5"/>
      <c r="I531" s="5"/>
      <c r="J531" s="5"/>
      <c r="K531" s="5"/>
      <c r="L531" s="5"/>
      <c r="M531" s="5"/>
      <c r="N531" s="5"/>
      <c r="O531" s="3"/>
      <c r="P531" s="3"/>
      <c r="Q531" s="3"/>
      <c r="R531" s="3"/>
      <c r="S531" s="3"/>
      <c r="T531" s="3"/>
      <c r="U531" s="3"/>
      <c r="V531" s="5">
        <f>+G531+N531-U531</f>
        <v>0</v>
      </c>
      <c r="W531" s="5"/>
      <c r="X531" s="3"/>
      <c r="Y531" s="5"/>
      <c r="Z531" s="5"/>
      <c r="AA531" s="5">
        <f t="shared" si="81"/>
        <v>0</v>
      </c>
      <c r="AB531" s="33"/>
      <c r="AC531" s="33"/>
      <c r="AD531" s="33"/>
      <c r="AE531" s="33"/>
    </row>
    <row r="532" spans="1:31" ht="24" x14ac:dyDescent="0.25">
      <c r="A532" s="3">
        <v>5</v>
      </c>
      <c r="B532" s="3">
        <v>1</v>
      </c>
      <c r="C532" s="3">
        <v>2</v>
      </c>
      <c r="D532" s="3">
        <v>4</v>
      </c>
      <c r="E532" s="3"/>
      <c r="F532" s="3" t="s">
        <v>303</v>
      </c>
      <c r="G532" s="5">
        <f>SUM(G533:G535)</f>
        <v>16640</v>
      </c>
      <c r="H532" s="5">
        <f>SUM(H533:H535)</f>
        <v>6006</v>
      </c>
      <c r="I532" s="5">
        <f>SUM(I533:I535)</f>
        <v>21322</v>
      </c>
      <c r="J532" s="5">
        <f>SUM(J533:J535)</f>
        <v>12150</v>
      </c>
      <c r="K532" s="5">
        <f>SUM(K533:K535)</f>
        <v>4754</v>
      </c>
      <c r="L532" s="5"/>
      <c r="M532" s="5"/>
      <c r="N532" s="5">
        <f>SUM(N533:N535)</f>
        <v>72034</v>
      </c>
      <c r="O532" s="5">
        <f>SUM(O533:O535)</f>
        <v>0</v>
      </c>
      <c r="P532" s="5">
        <f>SUM(P533:P535)</f>
        <v>0</v>
      </c>
      <c r="Q532" s="5">
        <f>SUM(Q533:Q535)</f>
        <v>0</v>
      </c>
      <c r="R532" s="5">
        <f>SUM(R533:R535)</f>
        <v>0</v>
      </c>
      <c r="S532" s="5"/>
      <c r="T532" s="5"/>
      <c r="U532" s="5">
        <f>SUM(U533:U535)</f>
        <v>0</v>
      </c>
      <c r="V532" s="5">
        <f>SUM(V533:V535)</f>
        <v>72034</v>
      </c>
      <c r="W532" s="5"/>
      <c r="X532" s="5">
        <f>SUM(X533:X535)</f>
        <v>7019</v>
      </c>
      <c r="Y532" s="5"/>
      <c r="Z532" s="5"/>
      <c r="AA532" s="5">
        <f>SUM(AA533:AA535)</f>
        <v>7019</v>
      </c>
      <c r="AB532" s="33"/>
      <c r="AC532" s="33"/>
      <c r="AD532" s="33"/>
      <c r="AE532" s="33"/>
    </row>
    <row r="533" spans="1:31" x14ac:dyDescent="0.25">
      <c r="A533" s="3"/>
      <c r="B533" s="3"/>
      <c r="C533" s="3"/>
      <c r="D533" s="3"/>
      <c r="E533" s="3"/>
      <c r="F533" s="3" t="s">
        <v>607</v>
      </c>
      <c r="G533" s="5">
        <f>1499+0+1253+157</f>
        <v>2909</v>
      </c>
      <c r="H533" s="5">
        <v>2078</v>
      </c>
      <c r="I533" s="5">
        <v>589</v>
      </c>
      <c r="J533" s="5">
        <v>0</v>
      </c>
      <c r="K533" s="5">
        <v>3080</v>
      </c>
      <c r="L533" s="5">
        <v>866</v>
      </c>
      <c r="M533" s="5">
        <f>2587+0+0</f>
        <v>2587</v>
      </c>
      <c r="N533" s="5">
        <f>SUM(H533:M533)</f>
        <v>9200</v>
      </c>
      <c r="O533" s="3"/>
      <c r="P533" s="3"/>
      <c r="Q533" s="3"/>
      <c r="R533" s="3"/>
      <c r="S533" s="3"/>
      <c r="T533" s="3"/>
      <c r="U533" s="3"/>
      <c r="V533" s="5">
        <f>N533</f>
        <v>9200</v>
      </c>
      <c r="W533" s="5"/>
      <c r="X533" s="5">
        <v>4488</v>
      </c>
      <c r="Y533" s="5"/>
      <c r="Z533" s="5"/>
      <c r="AA533" s="5">
        <f t="shared" ref="AA533:AA551" si="83">+X533+Y533-Z533</f>
        <v>4488</v>
      </c>
      <c r="AB533" s="33"/>
      <c r="AC533" s="33"/>
      <c r="AD533" s="33"/>
      <c r="AE533" s="33"/>
    </row>
    <row r="534" spans="1:31" x14ac:dyDescent="0.25">
      <c r="A534" s="3"/>
      <c r="B534" s="3"/>
      <c r="C534" s="3"/>
      <c r="D534" s="3"/>
      <c r="E534" s="3"/>
      <c r="F534" s="3" t="s">
        <v>608</v>
      </c>
      <c r="G534" s="5">
        <f>93+0+1483+3098+1823+1131+336+2159+1084</f>
        <v>11207</v>
      </c>
      <c r="H534" s="5">
        <v>3928</v>
      </c>
      <c r="I534" s="5">
        <v>20276</v>
      </c>
      <c r="J534" s="5">
        <v>12150</v>
      </c>
      <c r="K534" s="5">
        <v>1674</v>
      </c>
      <c r="L534" s="5">
        <v>17731</v>
      </c>
      <c r="M534" s="5">
        <f>821+0+1</f>
        <v>822</v>
      </c>
      <c r="N534" s="5">
        <f t="shared" ref="N534:N535" si="84">SUM(H534:M534)</f>
        <v>56581</v>
      </c>
      <c r="O534" s="3"/>
      <c r="P534" s="3"/>
      <c r="Q534" s="3"/>
      <c r="R534" s="3"/>
      <c r="S534" s="3"/>
      <c r="T534" s="3"/>
      <c r="U534" s="3"/>
      <c r="V534" s="5">
        <f>N534</f>
        <v>56581</v>
      </c>
      <c r="W534" s="5"/>
      <c r="X534" s="5">
        <v>2531</v>
      </c>
      <c r="Y534" s="5"/>
      <c r="Z534" s="5"/>
      <c r="AA534" s="5">
        <f t="shared" si="83"/>
        <v>2531</v>
      </c>
      <c r="AB534" s="33"/>
      <c r="AC534" s="33"/>
      <c r="AD534" s="33"/>
      <c r="AE534" s="33"/>
    </row>
    <row r="535" spans="1:31" ht="24" x14ac:dyDescent="0.25">
      <c r="A535" s="3"/>
      <c r="B535" s="3"/>
      <c r="C535" s="3"/>
      <c r="D535" s="3"/>
      <c r="E535" s="3"/>
      <c r="F535" s="3" t="s">
        <v>609</v>
      </c>
      <c r="G535" s="5">
        <f>388+0+0+0+0+290+1+356+1489</f>
        <v>2524</v>
      </c>
      <c r="H535" s="5">
        <v>0</v>
      </c>
      <c r="I535" s="5">
        <v>457</v>
      </c>
      <c r="J535" s="5">
        <v>0</v>
      </c>
      <c r="K535" s="5">
        <v>0</v>
      </c>
      <c r="L535" s="5">
        <v>515</v>
      </c>
      <c r="M535" s="5">
        <v>5281</v>
      </c>
      <c r="N535" s="5">
        <f t="shared" si="84"/>
        <v>6253</v>
      </c>
      <c r="O535" s="3"/>
      <c r="P535" s="3"/>
      <c r="Q535" s="3"/>
      <c r="R535" s="3"/>
      <c r="S535" s="3"/>
      <c r="T535" s="3"/>
      <c r="U535" s="3"/>
      <c r="V535" s="5">
        <f>N535</f>
        <v>6253</v>
      </c>
      <c r="W535" s="5"/>
      <c r="X535" s="5">
        <v>0</v>
      </c>
      <c r="Y535" s="5"/>
      <c r="Z535" s="5"/>
      <c r="AA535" s="5">
        <f t="shared" si="83"/>
        <v>0</v>
      </c>
      <c r="AB535" s="33"/>
      <c r="AC535" s="33"/>
      <c r="AD535" s="33"/>
      <c r="AE535" s="33"/>
    </row>
    <row r="536" spans="1:31" x14ac:dyDescent="0.25">
      <c r="A536" s="3">
        <v>5</v>
      </c>
      <c r="B536" s="3">
        <v>1</v>
      </c>
      <c r="C536" s="3">
        <v>2</v>
      </c>
      <c r="D536" s="3">
        <v>5</v>
      </c>
      <c r="E536" s="3"/>
      <c r="F536" s="3" t="s">
        <v>304</v>
      </c>
      <c r="G536" s="5">
        <f>SUM(G537:G538)</f>
        <v>554</v>
      </c>
      <c r="H536" s="5">
        <f>SUM(H537:H538)</f>
        <v>0</v>
      </c>
      <c r="I536" s="5">
        <f>SUM(I537:I538)</f>
        <v>0</v>
      </c>
      <c r="J536" s="5">
        <f>SUM(J537:J538)</f>
        <v>0</v>
      </c>
      <c r="K536" s="5">
        <f>SUM(K537:K538)</f>
        <v>0</v>
      </c>
      <c r="L536" s="5"/>
      <c r="M536" s="5"/>
      <c r="N536" s="5">
        <f>SUM(N537:N538)</f>
        <v>0</v>
      </c>
      <c r="O536" s="5">
        <f>SUM(O537:O538)</f>
        <v>0</v>
      </c>
      <c r="P536" s="5">
        <f>SUM(P537:P538)</f>
        <v>0</v>
      </c>
      <c r="Q536" s="5">
        <f>SUM(Q537:Q538)</f>
        <v>0</v>
      </c>
      <c r="R536" s="5">
        <f>SUM(R537:R538)</f>
        <v>0</v>
      </c>
      <c r="S536" s="5"/>
      <c r="T536" s="5"/>
      <c r="U536" s="5">
        <f>SUM(U537:U538)</f>
        <v>0</v>
      </c>
      <c r="V536" s="5">
        <f>SUM(V537:V538)</f>
        <v>0</v>
      </c>
      <c r="W536" s="5"/>
      <c r="X536" s="5">
        <f>SUM(X537:X538)</f>
        <v>0</v>
      </c>
      <c r="Y536" s="5"/>
      <c r="Z536" s="5"/>
      <c r="AA536" s="5">
        <f>SUM(AA537:AA538)</f>
        <v>0</v>
      </c>
      <c r="AB536" s="33"/>
      <c r="AC536" s="33"/>
      <c r="AD536" s="33"/>
      <c r="AE536" s="33"/>
    </row>
    <row r="537" spans="1:31" x14ac:dyDescent="0.25">
      <c r="A537" s="3"/>
      <c r="B537" s="3"/>
      <c r="C537" s="3"/>
      <c r="D537" s="3"/>
      <c r="E537" s="3"/>
      <c r="F537" s="3" t="s">
        <v>610</v>
      </c>
      <c r="G537" s="5">
        <v>0</v>
      </c>
      <c r="H537" s="5">
        <v>0</v>
      </c>
      <c r="I537" s="5">
        <v>0</v>
      </c>
      <c r="J537" s="5">
        <v>0</v>
      </c>
      <c r="K537" s="5">
        <v>0</v>
      </c>
      <c r="L537" s="5"/>
      <c r="M537" s="5"/>
      <c r="N537" s="5">
        <f>SUM(H537:M537)</f>
        <v>0</v>
      </c>
      <c r="O537" s="3"/>
      <c r="P537" s="3"/>
      <c r="Q537" s="3"/>
      <c r="R537" s="3"/>
      <c r="S537" s="3"/>
      <c r="T537" s="3"/>
      <c r="U537" s="3"/>
      <c r="V537" s="5">
        <f>+G537+N537-U537</f>
        <v>0</v>
      </c>
      <c r="W537" s="5"/>
      <c r="X537" s="5">
        <v>0</v>
      </c>
      <c r="Y537" s="5"/>
      <c r="Z537" s="5"/>
      <c r="AA537" s="5">
        <f t="shared" si="83"/>
        <v>0</v>
      </c>
      <c r="AB537" s="33"/>
      <c r="AC537" s="33"/>
      <c r="AD537" s="33"/>
      <c r="AE537" s="33"/>
    </row>
    <row r="538" spans="1:31" x14ac:dyDescent="0.25">
      <c r="A538" s="3"/>
      <c r="B538" s="3"/>
      <c r="C538" s="3"/>
      <c r="D538" s="3"/>
      <c r="E538" s="3"/>
      <c r="F538" s="3" t="s">
        <v>611</v>
      </c>
      <c r="G538" s="5">
        <v>554</v>
      </c>
      <c r="H538" s="5">
        <v>0</v>
      </c>
      <c r="I538" s="5">
        <v>0</v>
      </c>
      <c r="J538" s="5">
        <v>0</v>
      </c>
      <c r="K538" s="5">
        <v>0</v>
      </c>
      <c r="L538" s="5"/>
      <c r="M538" s="5"/>
      <c r="N538" s="5">
        <f>SUM(H538:M538)</f>
        <v>0</v>
      </c>
      <c r="O538" s="3"/>
      <c r="P538" s="3"/>
      <c r="Q538" s="3"/>
      <c r="R538" s="3"/>
      <c r="S538" s="3"/>
      <c r="T538" s="3"/>
      <c r="U538" s="3"/>
      <c r="V538" s="5">
        <f>N538</f>
        <v>0</v>
      </c>
      <c r="W538" s="5"/>
      <c r="X538" s="5">
        <v>0</v>
      </c>
      <c r="Y538" s="5"/>
      <c r="Z538" s="5"/>
      <c r="AA538" s="5">
        <f t="shared" si="83"/>
        <v>0</v>
      </c>
      <c r="AB538" s="33"/>
      <c r="AC538" s="33"/>
      <c r="AD538" s="33"/>
      <c r="AE538" s="33"/>
    </row>
    <row r="539" spans="1:31" x14ac:dyDescent="0.25">
      <c r="A539" s="3">
        <v>5</v>
      </c>
      <c r="B539" s="3">
        <v>1</v>
      </c>
      <c r="C539" s="3">
        <v>2</v>
      </c>
      <c r="D539" s="3">
        <v>6</v>
      </c>
      <c r="E539" s="3"/>
      <c r="F539" s="3" t="s">
        <v>305</v>
      </c>
      <c r="G539" s="5">
        <f t="shared" ref="G539:V539" si="85">G540</f>
        <v>93661</v>
      </c>
      <c r="H539" s="5">
        <f t="shared" si="85"/>
        <v>18513</v>
      </c>
      <c r="I539" s="5">
        <f t="shared" si="85"/>
        <v>10215</v>
      </c>
      <c r="J539" s="5">
        <f t="shared" si="85"/>
        <v>5744</v>
      </c>
      <c r="K539" s="5">
        <f t="shared" si="85"/>
        <v>8817</v>
      </c>
      <c r="L539" s="5"/>
      <c r="M539" s="5"/>
      <c r="N539" s="5">
        <f t="shared" si="85"/>
        <v>88504</v>
      </c>
      <c r="O539" s="5">
        <f t="shared" si="85"/>
        <v>0</v>
      </c>
      <c r="P539" s="5">
        <f t="shared" si="85"/>
        <v>0</v>
      </c>
      <c r="Q539" s="5">
        <f t="shared" si="85"/>
        <v>0</v>
      </c>
      <c r="R539" s="5">
        <f t="shared" si="85"/>
        <v>0</v>
      </c>
      <c r="S539" s="5"/>
      <c r="T539" s="5"/>
      <c r="U539" s="5">
        <f t="shared" si="85"/>
        <v>0</v>
      </c>
      <c r="V539" s="5">
        <f t="shared" si="85"/>
        <v>88504</v>
      </c>
      <c r="W539" s="5"/>
      <c r="X539" s="5">
        <f t="shared" ref="X539" si="86">X540</f>
        <v>87340</v>
      </c>
      <c r="Y539" s="5"/>
      <c r="Z539" s="5"/>
      <c r="AA539" s="5">
        <f>AA540</f>
        <v>87340</v>
      </c>
      <c r="AB539" s="33"/>
      <c r="AC539" s="33"/>
      <c r="AD539" s="33"/>
      <c r="AE539" s="33"/>
    </row>
    <row r="540" spans="1:31" x14ac:dyDescent="0.25">
      <c r="A540" s="3"/>
      <c r="B540" s="3"/>
      <c r="C540" s="3"/>
      <c r="D540" s="3"/>
      <c r="E540" s="3"/>
      <c r="F540" s="3" t="s">
        <v>305</v>
      </c>
      <c r="G540" s="5">
        <f>8846+5010+8209+9300+12050+4700-1+7350+9630+1+6792+7140+7248+7385+1</f>
        <v>93661</v>
      </c>
      <c r="H540" s="5">
        <v>18513</v>
      </c>
      <c r="I540" s="5">
        <v>10215</v>
      </c>
      <c r="J540" s="5">
        <v>5744</v>
      </c>
      <c r="K540" s="5">
        <v>8817</v>
      </c>
      <c r="L540" s="5">
        <v>20215</v>
      </c>
      <c r="M540" s="5">
        <f>13721+5138+6141</f>
        <v>25000</v>
      </c>
      <c r="N540" s="5">
        <f>SUM(H540:M540)</f>
        <v>88504</v>
      </c>
      <c r="O540" s="3"/>
      <c r="P540" s="3"/>
      <c r="Q540" s="3"/>
      <c r="R540" s="3"/>
      <c r="S540" s="3"/>
      <c r="T540" s="3"/>
      <c r="U540" s="3"/>
      <c r="V540" s="5">
        <f>N540</f>
        <v>88504</v>
      </c>
      <c r="W540" s="5"/>
      <c r="X540" s="5">
        <v>87340</v>
      </c>
      <c r="Y540" s="5"/>
      <c r="Z540" s="5"/>
      <c r="AA540" s="5">
        <f t="shared" si="83"/>
        <v>87340</v>
      </c>
      <c r="AB540" s="33"/>
      <c r="AC540" s="33"/>
      <c r="AD540" s="33"/>
      <c r="AE540" s="33"/>
    </row>
    <row r="541" spans="1:31" ht="24" x14ac:dyDescent="0.25">
      <c r="A541" s="3">
        <v>5</v>
      </c>
      <c r="B541" s="3">
        <v>1</v>
      </c>
      <c r="C541" s="3">
        <v>2</v>
      </c>
      <c r="D541" s="3">
        <v>7</v>
      </c>
      <c r="E541" s="3"/>
      <c r="F541" s="3" t="s">
        <v>306</v>
      </c>
      <c r="G541" s="5">
        <f>SUM(G542:G544)</f>
        <v>4060</v>
      </c>
      <c r="H541" s="5">
        <f>SUM(H542:H544)</f>
        <v>0</v>
      </c>
      <c r="I541" s="5">
        <f>SUM(I542:I544)</f>
        <v>1160</v>
      </c>
      <c r="J541" s="5">
        <f>SUM(J542:J544)</f>
        <v>0</v>
      </c>
      <c r="K541" s="5">
        <f>SUM(K542:K544)</f>
        <v>0</v>
      </c>
      <c r="L541" s="5"/>
      <c r="M541" s="5"/>
      <c r="N541" s="5">
        <f>SUM(N542:N544)</f>
        <v>1160</v>
      </c>
      <c r="O541" s="5">
        <f>SUM(O542:O544)</f>
        <v>0</v>
      </c>
      <c r="P541" s="5">
        <f>SUM(P542:P544)</f>
        <v>0</v>
      </c>
      <c r="Q541" s="5">
        <f>SUM(Q542:Q544)</f>
        <v>0</v>
      </c>
      <c r="R541" s="5">
        <f>SUM(R542:R544)</f>
        <v>0</v>
      </c>
      <c r="S541" s="5"/>
      <c r="T541" s="5"/>
      <c r="U541" s="5">
        <f>SUM(U542:U544)</f>
        <v>0</v>
      </c>
      <c r="V541" s="5">
        <f>SUM(V542:V544)</f>
        <v>1160</v>
      </c>
      <c r="W541" s="5"/>
      <c r="X541" s="5">
        <f>SUM(X542:X544)</f>
        <v>0</v>
      </c>
      <c r="Y541" s="5"/>
      <c r="Z541" s="5"/>
      <c r="AA541" s="5">
        <f>SUM(AA542:AA544)</f>
        <v>0</v>
      </c>
      <c r="AB541" s="33"/>
      <c r="AC541" s="33"/>
      <c r="AD541" s="33"/>
      <c r="AE541" s="33"/>
    </row>
    <row r="542" spans="1:31" x14ac:dyDescent="0.25">
      <c r="A542" s="3"/>
      <c r="B542" s="3"/>
      <c r="C542" s="3"/>
      <c r="D542" s="3"/>
      <c r="E542" s="3"/>
      <c r="F542" s="3" t="s">
        <v>612</v>
      </c>
      <c r="G542" s="5">
        <v>4060</v>
      </c>
      <c r="H542" s="5">
        <v>0</v>
      </c>
      <c r="I542" s="5">
        <v>1160</v>
      </c>
      <c r="J542" s="5">
        <v>0</v>
      </c>
      <c r="K542" s="5">
        <v>0</v>
      </c>
      <c r="L542" s="5"/>
      <c r="M542" s="5"/>
      <c r="N542" s="5">
        <f>SUM(H542:M542)</f>
        <v>1160</v>
      </c>
      <c r="O542" s="3"/>
      <c r="P542" s="3"/>
      <c r="Q542" s="3"/>
      <c r="R542" s="3"/>
      <c r="S542" s="3"/>
      <c r="T542" s="3"/>
      <c r="U542" s="3"/>
      <c r="V542" s="5">
        <f t="shared" ref="V542:V551" si="87">N542</f>
        <v>1160</v>
      </c>
      <c r="W542" s="5"/>
      <c r="X542" s="16">
        <v>0</v>
      </c>
      <c r="Y542" s="5"/>
      <c r="Z542" s="5"/>
      <c r="AA542" s="5">
        <f t="shared" si="83"/>
        <v>0</v>
      </c>
      <c r="AB542" s="33"/>
      <c r="AC542" s="33"/>
      <c r="AD542" s="33"/>
      <c r="AE542" s="33"/>
    </row>
    <row r="543" spans="1:31" x14ac:dyDescent="0.25">
      <c r="A543" s="3"/>
      <c r="B543" s="3"/>
      <c r="C543" s="3"/>
      <c r="D543" s="3"/>
      <c r="E543" s="3"/>
      <c r="F543" s="3" t="s">
        <v>613</v>
      </c>
      <c r="G543" s="5">
        <v>0</v>
      </c>
      <c r="H543" s="5">
        <v>0</v>
      </c>
      <c r="I543" s="5">
        <v>0</v>
      </c>
      <c r="J543" s="5">
        <v>0</v>
      </c>
      <c r="K543" s="5">
        <v>0</v>
      </c>
      <c r="L543" s="5"/>
      <c r="M543" s="5"/>
      <c r="N543" s="5">
        <f t="shared" ref="N543:N544" si="88">SUM(H543:M543)</f>
        <v>0</v>
      </c>
      <c r="O543" s="3"/>
      <c r="P543" s="3"/>
      <c r="Q543" s="3"/>
      <c r="R543" s="3"/>
      <c r="S543" s="3"/>
      <c r="T543" s="3"/>
      <c r="U543" s="3"/>
      <c r="V543" s="5">
        <f t="shared" si="87"/>
        <v>0</v>
      </c>
      <c r="W543" s="5"/>
      <c r="X543" s="16">
        <v>0</v>
      </c>
      <c r="Y543" s="5"/>
      <c r="Z543" s="5"/>
      <c r="AA543" s="5">
        <f t="shared" si="83"/>
        <v>0</v>
      </c>
      <c r="AB543" s="33"/>
      <c r="AC543" s="33"/>
      <c r="AD543" s="33"/>
      <c r="AE543" s="33"/>
    </row>
    <row r="544" spans="1:31" ht="24" x14ac:dyDescent="0.25">
      <c r="A544" s="3"/>
      <c r="B544" s="3"/>
      <c r="C544" s="3"/>
      <c r="D544" s="3"/>
      <c r="E544" s="3"/>
      <c r="F544" s="3" t="s">
        <v>614</v>
      </c>
      <c r="G544" s="5">
        <v>0</v>
      </c>
      <c r="H544" s="5">
        <v>0</v>
      </c>
      <c r="I544" s="5">
        <v>0</v>
      </c>
      <c r="J544" s="5">
        <v>0</v>
      </c>
      <c r="K544" s="5">
        <v>0</v>
      </c>
      <c r="L544" s="5"/>
      <c r="M544" s="5"/>
      <c r="N544" s="5">
        <f t="shared" si="88"/>
        <v>0</v>
      </c>
      <c r="O544" s="3"/>
      <c r="P544" s="3"/>
      <c r="Q544" s="3"/>
      <c r="R544" s="3"/>
      <c r="S544" s="3"/>
      <c r="T544" s="3"/>
      <c r="U544" s="3"/>
      <c r="V544" s="5">
        <f t="shared" si="87"/>
        <v>0</v>
      </c>
      <c r="W544" s="5"/>
      <c r="X544" s="16">
        <v>0</v>
      </c>
      <c r="Y544" s="5"/>
      <c r="Z544" s="5"/>
      <c r="AA544" s="5">
        <f t="shared" si="83"/>
        <v>0</v>
      </c>
      <c r="AB544" s="33"/>
      <c r="AC544" s="33"/>
      <c r="AD544" s="33"/>
      <c r="AE544" s="33"/>
    </row>
    <row r="545" spans="1:31" x14ac:dyDescent="0.25">
      <c r="A545" s="3">
        <v>5</v>
      </c>
      <c r="B545" s="3">
        <v>1</v>
      </c>
      <c r="C545" s="3">
        <v>2</v>
      </c>
      <c r="D545" s="3">
        <v>8</v>
      </c>
      <c r="E545" s="3"/>
      <c r="F545" s="3" t="s">
        <v>307</v>
      </c>
      <c r="G545" s="5">
        <f t="shared" ref="G545:V545" si="89">G546</f>
        <v>0</v>
      </c>
      <c r="H545" s="5">
        <f t="shared" si="89"/>
        <v>0</v>
      </c>
      <c r="I545" s="5">
        <f t="shared" si="89"/>
        <v>0</v>
      </c>
      <c r="J545" s="5">
        <f t="shared" si="89"/>
        <v>0</v>
      </c>
      <c r="K545" s="5">
        <f t="shared" si="89"/>
        <v>0</v>
      </c>
      <c r="L545" s="5"/>
      <c r="M545" s="5"/>
      <c r="N545" s="5">
        <f t="shared" si="89"/>
        <v>0</v>
      </c>
      <c r="O545" s="5">
        <f t="shared" si="89"/>
        <v>0</v>
      </c>
      <c r="P545" s="5">
        <f t="shared" si="89"/>
        <v>0</v>
      </c>
      <c r="Q545" s="5">
        <f t="shared" si="89"/>
        <v>0</v>
      </c>
      <c r="R545" s="5">
        <f t="shared" si="89"/>
        <v>0</v>
      </c>
      <c r="S545" s="5"/>
      <c r="T545" s="5"/>
      <c r="U545" s="5">
        <f t="shared" si="89"/>
        <v>0</v>
      </c>
      <c r="V545" s="5">
        <f t="shared" si="89"/>
        <v>0</v>
      </c>
      <c r="W545" s="5"/>
      <c r="X545" s="5">
        <f t="shared" ref="X545" si="90">X546</f>
        <v>0</v>
      </c>
      <c r="Y545" s="5"/>
      <c r="Z545" s="5"/>
      <c r="AA545" s="5">
        <f>AA546</f>
        <v>0</v>
      </c>
      <c r="AB545" s="33"/>
      <c r="AC545" s="33"/>
      <c r="AD545" s="33"/>
      <c r="AE545" s="33"/>
    </row>
    <row r="546" spans="1:31" x14ac:dyDescent="0.25">
      <c r="A546" s="3"/>
      <c r="B546" s="3"/>
      <c r="C546" s="3"/>
      <c r="D546" s="3"/>
      <c r="E546" s="3"/>
      <c r="F546" s="3" t="s">
        <v>615</v>
      </c>
      <c r="G546" s="5">
        <v>0</v>
      </c>
      <c r="H546" s="5">
        <v>0</v>
      </c>
      <c r="I546" s="5">
        <v>0</v>
      </c>
      <c r="J546" s="5">
        <v>0</v>
      </c>
      <c r="K546" s="5">
        <v>0</v>
      </c>
      <c r="L546" s="5"/>
      <c r="M546" s="5"/>
      <c r="N546" s="5">
        <f>SUM(H546:K546)</f>
        <v>0</v>
      </c>
      <c r="O546" s="3"/>
      <c r="P546" s="3"/>
      <c r="Q546" s="3"/>
      <c r="R546" s="3"/>
      <c r="S546" s="3"/>
      <c r="T546" s="3"/>
      <c r="U546" s="3"/>
      <c r="V546" s="5">
        <f t="shared" si="87"/>
        <v>0</v>
      </c>
      <c r="W546" s="5"/>
      <c r="X546" s="16"/>
      <c r="Y546" s="5"/>
      <c r="Z546" s="5"/>
      <c r="AA546" s="5">
        <f t="shared" si="83"/>
        <v>0</v>
      </c>
      <c r="AB546" s="33"/>
      <c r="AC546" s="33"/>
      <c r="AD546" s="33"/>
      <c r="AE546" s="33"/>
    </row>
    <row r="547" spans="1:31" x14ac:dyDescent="0.25">
      <c r="A547" s="3">
        <v>5</v>
      </c>
      <c r="B547" s="3">
        <v>1</v>
      </c>
      <c r="C547" s="3">
        <v>2</v>
      </c>
      <c r="D547" s="3">
        <v>9</v>
      </c>
      <c r="E547" s="3"/>
      <c r="F547" s="3" t="s">
        <v>308</v>
      </c>
      <c r="G547" s="5">
        <f>SUM(G548:G551)</f>
        <v>187</v>
      </c>
      <c r="H547" s="5">
        <f>SUM(H548:H551)</f>
        <v>0</v>
      </c>
      <c r="I547" s="5">
        <f>SUM(I548:I551)</f>
        <v>0</v>
      </c>
      <c r="J547" s="5">
        <f>SUM(J548:J551)</f>
        <v>0</v>
      </c>
      <c r="K547" s="5">
        <f>SUM(K548:K551)</f>
        <v>0</v>
      </c>
      <c r="L547" s="5"/>
      <c r="M547" s="5"/>
      <c r="N547" s="5">
        <f>SUM(N548:N551)</f>
        <v>0</v>
      </c>
      <c r="O547" s="5">
        <f>SUM(O548:O551)</f>
        <v>0</v>
      </c>
      <c r="P547" s="5">
        <f>SUM(P548:P551)</f>
        <v>0</v>
      </c>
      <c r="Q547" s="5">
        <f>SUM(Q548:Q551)</f>
        <v>0</v>
      </c>
      <c r="R547" s="5">
        <f>SUM(R548:R551)</f>
        <v>0</v>
      </c>
      <c r="S547" s="5"/>
      <c r="T547" s="5"/>
      <c r="U547" s="5">
        <f>SUM(U548:U551)</f>
        <v>0</v>
      </c>
      <c r="V547" s="5">
        <f>SUM(V548:V551)</f>
        <v>0</v>
      </c>
      <c r="W547" s="5"/>
      <c r="X547" s="5">
        <f>SUM(X548:X551)</f>
        <v>0</v>
      </c>
      <c r="Y547" s="5"/>
      <c r="Z547" s="5"/>
      <c r="AA547" s="5">
        <f>SUM(AA548:AA551)</f>
        <v>0</v>
      </c>
      <c r="AB547" s="33"/>
      <c r="AC547" s="33"/>
      <c r="AD547" s="33"/>
      <c r="AE547" s="33"/>
    </row>
    <row r="548" spans="1:31" x14ac:dyDescent="0.25">
      <c r="A548" s="3"/>
      <c r="B548" s="3"/>
      <c r="C548" s="3"/>
      <c r="D548" s="3"/>
      <c r="E548" s="3"/>
      <c r="F548" s="3" t="s">
        <v>616</v>
      </c>
      <c r="G548" s="5">
        <v>187</v>
      </c>
      <c r="H548" s="5">
        <v>0</v>
      </c>
      <c r="I548" s="5">
        <v>0</v>
      </c>
      <c r="J548" s="5">
        <v>0</v>
      </c>
      <c r="K548" s="5">
        <v>0</v>
      </c>
      <c r="L548" s="5"/>
      <c r="M548" s="5"/>
      <c r="N548" s="5">
        <f>SUM(H548:K548)</f>
        <v>0</v>
      </c>
      <c r="O548" s="3"/>
      <c r="P548" s="3"/>
      <c r="Q548" s="3"/>
      <c r="R548" s="3"/>
      <c r="S548" s="3"/>
      <c r="T548" s="3"/>
      <c r="U548" s="3"/>
      <c r="V548" s="5">
        <f t="shared" si="87"/>
        <v>0</v>
      </c>
      <c r="W548" s="5"/>
      <c r="X548" s="16">
        <v>0</v>
      </c>
      <c r="Y548" s="5"/>
      <c r="Z548" s="5"/>
      <c r="AA548" s="5">
        <f t="shared" si="83"/>
        <v>0</v>
      </c>
      <c r="AB548" s="33"/>
      <c r="AC548" s="33"/>
      <c r="AD548" s="33"/>
      <c r="AE548" s="33"/>
    </row>
    <row r="549" spans="1:31" ht="24" x14ac:dyDescent="0.25">
      <c r="A549" s="3"/>
      <c r="B549" s="3"/>
      <c r="C549" s="3"/>
      <c r="D549" s="3"/>
      <c r="E549" s="3"/>
      <c r="F549" s="3" t="s">
        <v>617</v>
      </c>
      <c r="G549" s="5">
        <v>0</v>
      </c>
      <c r="H549" s="5">
        <v>0</v>
      </c>
      <c r="I549" s="5">
        <v>0</v>
      </c>
      <c r="J549" s="5">
        <v>0</v>
      </c>
      <c r="K549" s="5">
        <v>0</v>
      </c>
      <c r="L549" s="5"/>
      <c r="M549" s="5"/>
      <c r="N549" s="5">
        <f>SUM(H549:K549)</f>
        <v>0</v>
      </c>
      <c r="O549" s="3"/>
      <c r="P549" s="3"/>
      <c r="Q549" s="3"/>
      <c r="R549" s="3"/>
      <c r="S549" s="3"/>
      <c r="T549" s="3"/>
      <c r="U549" s="3"/>
      <c r="V549" s="5">
        <f t="shared" si="87"/>
        <v>0</v>
      </c>
      <c r="W549" s="5"/>
      <c r="X549" s="16">
        <v>0</v>
      </c>
      <c r="Y549" s="5"/>
      <c r="Z549" s="5"/>
      <c r="AA549" s="5">
        <f t="shared" si="83"/>
        <v>0</v>
      </c>
      <c r="AB549" s="33"/>
      <c r="AC549" s="33"/>
      <c r="AD549" s="33"/>
      <c r="AE549" s="33"/>
    </row>
    <row r="550" spans="1:31" ht="24" x14ac:dyDescent="0.25">
      <c r="A550" s="3"/>
      <c r="B550" s="3"/>
      <c r="C550" s="3"/>
      <c r="D550" s="3"/>
      <c r="E550" s="3"/>
      <c r="F550" s="3" t="s">
        <v>618</v>
      </c>
      <c r="G550" s="5">
        <v>0</v>
      </c>
      <c r="H550" s="5">
        <v>0</v>
      </c>
      <c r="I550" s="5">
        <v>0</v>
      </c>
      <c r="J550" s="5">
        <v>0</v>
      </c>
      <c r="K550" s="5">
        <v>0</v>
      </c>
      <c r="L550" s="5"/>
      <c r="M550" s="5"/>
      <c r="N550" s="5">
        <f>SUM(H550:K550)</f>
        <v>0</v>
      </c>
      <c r="O550" s="3"/>
      <c r="P550" s="3"/>
      <c r="Q550" s="3"/>
      <c r="R550" s="3"/>
      <c r="S550" s="3"/>
      <c r="T550" s="3"/>
      <c r="U550" s="3"/>
      <c r="V550" s="5">
        <f t="shared" si="87"/>
        <v>0</v>
      </c>
      <c r="W550" s="5"/>
      <c r="X550" s="16">
        <v>0</v>
      </c>
      <c r="Y550" s="5"/>
      <c r="Z550" s="5"/>
      <c r="AA550" s="5">
        <f t="shared" si="83"/>
        <v>0</v>
      </c>
      <c r="AB550" s="33"/>
      <c r="AC550" s="33"/>
      <c r="AD550" s="33"/>
      <c r="AE550" s="33"/>
    </row>
    <row r="551" spans="1:31" ht="24" x14ac:dyDescent="0.25">
      <c r="A551" s="3"/>
      <c r="B551" s="3"/>
      <c r="C551" s="3"/>
      <c r="D551" s="3"/>
      <c r="E551" s="3"/>
      <c r="F551" s="3" t="s">
        <v>619</v>
      </c>
      <c r="G551" s="5">
        <v>0</v>
      </c>
      <c r="H551" s="5">
        <v>0</v>
      </c>
      <c r="I551" s="5">
        <v>0</v>
      </c>
      <c r="J551" s="5">
        <v>0</v>
      </c>
      <c r="K551" s="5">
        <v>0</v>
      </c>
      <c r="L551" s="5"/>
      <c r="M551" s="5"/>
      <c r="N551" s="5">
        <f>SUM(H551:K551)</f>
        <v>0</v>
      </c>
      <c r="O551" s="3"/>
      <c r="P551" s="3"/>
      <c r="Q551" s="3"/>
      <c r="R551" s="3"/>
      <c r="S551" s="3"/>
      <c r="T551" s="3"/>
      <c r="U551" s="3"/>
      <c r="V551" s="5">
        <f t="shared" si="87"/>
        <v>0</v>
      </c>
      <c r="W551" s="5"/>
      <c r="X551" s="16">
        <v>0</v>
      </c>
      <c r="Y551" s="5"/>
      <c r="Z551" s="5"/>
      <c r="AA551" s="5">
        <f t="shared" si="83"/>
        <v>0</v>
      </c>
      <c r="AB551" s="33"/>
      <c r="AC551" s="33"/>
      <c r="AD551" s="33"/>
      <c r="AE551" s="33"/>
    </row>
    <row r="552" spans="1:31" x14ac:dyDescent="0.25">
      <c r="A552" s="1">
        <v>5</v>
      </c>
      <c r="B552" s="1">
        <v>1</v>
      </c>
      <c r="C552" s="1">
        <v>3</v>
      </c>
      <c r="D552" s="1"/>
      <c r="E552" s="1"/>
      <c r="F552" s="334" t="s">
        <v>18</v>
      </c>
      <c r="G552" s="47">
        <f>+G553+G561+G563+G572+G577+G584+G586+G593+G599</f>
        <v>3948322</v>
      </c>
      <c r="H552" s="47">
        <f t="shared" ref="H552:M552" si="91">+H553+H561+H563+H572+H577+H584+H586+H593+H599</f>
        <v>2305868</v>
      </c>
      <c r="I552" s="47">
        <f t="shared" si="91"/>
        <v>135759</v>
      </c>
      <c r="J552" s="47">
        <f t="shared" si="91"/>
        <v>277973</v>
      </c>
      <c r="K552" s="47">
        <f t="shared" si="91"/>
        <v>575329</v>
      </c>
      <c r="L552" s="47">
        <f t="shared" si="91"/>
        <v>119231</v>
      </c>
      <c r="M552" s="47">
        <f t="shared" si="91"/>
        <v>104462</v>
      </c>
      <c r="N552" s="47">
        <f>+N553+N561+N563+N572+N577+N584+N586+N593+N599</f>
        <v>4531143</v>
      </c>
      <c r="O552" s="47">
        <f>+O553+O561+O563+O572+O577+O584+O586+O593+O599</f>
        <v>0</v>
      </c>
      <c r="P552" s="47">
        <f>+P553+P561+P563+P572+P577+P584+P586+P593+P599</f>
        <v>0</v>
      </c>
      <c r="Q552" s="47">
        <f>+Q553+Q561+Q563+Q572+Q577+Q584+Q586+Q593+Q599</f>
        <v>0</v>
      </c>
      <c r="R552" s="47">
        <f>+R553+R561+R563+R572+R577+R584+R586+R593+R599</f>
        <v>0</v>
      </c>
      <c r="S552" s="47"/>
      <c r="T552" s="47"/>
      <c r="U552" s="47">
        <f>+U553+U561+U563+U572+U577+U584+U586+U593+U599</f>
        <v>0</v>
      </c>
      <c r="V552" s="47">
        <f>+V553+V561+V563+V572+V577+V584+V586+V593+V599</f>
        <v>4531143</v>
      </c>
      <c r="W552" s="47"/>
      <c r="X552" s="47">
        <f>+X553+X561+X563+X572+X577+X584+X586+X593+X599</f>
        <v>14294826</v>
      </c>
      <c r="Y552" s="47"/>
      <c r="Z552" s="47"/>
      <c r="AA552" s="47">
        <f>+AA553+AA561+AA563+AA572+AA577+AA584+AA586+AA593+AA599</f>
        <v>14247883</v>
      </c>
      <c r="AB552" s="33"/>
      <c r="AC552" s="33"/>
      <c r="AD552" s="33"/>
      <c r="AE552" s="33"/>
    </row>
    <row r="553" spans="1:31" x14ac:dyDescent="0.25">
      <c r="A553" s="3">
        <v>5</v>
      </c>
      <c r="B553" s="3">
        <v>1</v>
      </c>
      <c r="C553" s="3">
        <v>3</v>
      </c>
      <c r="D553" s="3">
        <v>1</v>
      </c>
      <c r="E553" s="3"/>
      <c r="F553" s="3" t="s">
        <v>309</v>
      </c>
      <c r="G553" s="21">
        <f>SUM(G554:G560)</f>
        <v>288536</v>
      </c>
      <c r="H553" s="21">
        <f t="shared" ref="H553:M553" si="92">SUM(H554:H560)</f>
        <v>123625</v>
      </c>
      <c r="I553" s="21">
        <f t="shared" si="92"/>
        <v>26172</v>
      </c>
      <c r="J553" s="21">
        <f t="shared" si="92"/>
        <v>45232</v>
      </c>
      <c r="K553" s="21">
        <f t="shared" si="92"/>
        <v>26178</v>
      </c>
      <c r="L553" s="21">
        <f t="shared" si="92"/>
        <v>119231</v>
      </c>
      <c r="M553" s="21">
        <f t="shared" si="92"/>
        <v>104462</v>
      </c>
      <c r="N553" s="21">
        <f>SUM(N554:N560)</f>
        <v>444900</v>
      </c>
      <c r="O553" s="21">
        <f>SUM(O554:O560)</f>
        <v>0</v>
      </c>
      <c r="P553" s="21">
        <f>SUM(P554:P560)</f>
        <v>0</v>
      </c>
      <c r="Q553" s="21">
        <f>SUM(Q554:Q560)</f>
        <v>0</v>
      </c>
      <c r="R553" s="21">
        <f>SUM(R554:R560)</f>
        <v>0</v>
      </c>
      <c r="S553" s="21"/>
      <c r="T553" s="21"/>
      <c r="U553" s="21">
        <f>SUM(U554:U560)</f>
        <v>0</v>
      </c>
      <c r="V553" s="21">
        <f>SUM(V554:V560)</f>
        <v>444900</v>
      </c>
      <c r="W553" s="21"/>
      <c r="X553" s="21">
        <f>SUM(X554:X560)</f>
        <v>344945</v>
      </c>
      <c r="Y553" s="21"/>
      <c r="Z553" s="21"/>
      <c r="AA553" s="21">
        <f>SUM(AA554:AA560)</f>
        <v>328795</v>
      </c>
      <c r="AB553" s="33"/>
      <c r="AC553" s="33"/>
      <c r="AD553" s="33"/>
      <c r="AE553" s="33"/>
    </row>
    <row r="554" spans="1:31" x14ac:dyDescent="0.25">
      <c r="A554" s="3"/>
      <c r="B554" s="3"/>
      <c r="C554" s="3"/>
      <c r="D554" s="3"/>
      <c r="E554" s="3"/>
      <c r="F554" s="3" t="s">
        <v>620</v>
      </c>
      <c r="G554" s="5">
        <f>21377+21025+18389+17805+17300+21966</f>
        <v>117862</v>
      </c>
      <c r="H554" s="5">
        <v>38158</v>
      </c>
      <c r="I554" s="5"/>
      <c r="J554" s="5">
        <v>19061</v>
      </c>
      <c r="K554" s="5"/>
      <c r="L554" s="5">
        <v>39239</v>
      </c>
      <c r="M554" s="5">
        <v>23647</v>
      </c>
      <c r="N554" s="5">
        <f>SUM(H554:M554)</f>
        <v>120105</v>
      </c>
      <c r="O554" s="3"/>
      <c r="P554" s="3"/>
      <c r="Q554" s="3"/>
      <c r="R554" s="3"/>
      <c r="S554" s="3"/>
      <c r="T554" s="3"/>
      <c r="U554" s="3"/>
      <c r="V554" s="5">
        <f t="shared" ref="V554:V605" si="93">N554</f>
        <v>120105</v>
      </c>
      <c r="W554" s="5"/>
      <c r="X554" s="16">
        <v>145326</v>
      </c>
      <c r="Y554" s="5"/>
      <c r="Z554" s="5"/>
      <c r="AA554" s="5">
        <f t="shared" ref="AA554:AA605" si="94">+X554+Y554-Z554</f>
        <v>145326</v>
      </c>
      <c r="AB554" s="33"/>
      <c r="AC554" s="33"/>
      <c r="AD554" s="33"/>
      <c r="AE554" s="33"/>
    </row>
    <row r="555" spans="1:31" x14ac:dyDescent="0.25">
      <c r="A555" s="3"/>
      <c r="B555" s="3"/>
      <c r="C555" s="3"/>
      <c r="D555" s="3"/>
      <c r="E555" s="3"/>
      <c r="F555" s="3" t="s">
        <v>621</v>
      </c>
      <c r="G555" s="5">
        <v>10296</v>
      </c>
      <c r="H555" s="5">
        <v>10296</v>
      </c>
      <c r="I555" s="5"/>
      <c r="J555" s="5"/>
      <c r="K555" s="5"/>
      <c r="L555" s="5">
        <v>0</v>
      </c>
      <c r="M555" s="5"/>
      <c r="N555" s="5">
        <f t="shared" ref="N555:N560" si="95">SUM(H555:M555)</f>
        <v>10296</v>
      </c>
      <c r="O555" s="3"/>
      <c r="P555" s="3"/>
      <c r="Q555" s="3"/>
      <c r="R555" s="3"/>
      <c r="S555" s="3"/>
      <c r="T555" s="3"/>
      <c r="U555" s="3"/>
      <c r="V555" s="5">
        <f t="shared" si="93"/>
        <v>10296</v>
      </c>
      <c r="W555" s="5"/>
      <c r="X555" s="16">
        <v>10296</v>
      </c>
      <c r="Y555" s="5"/>
      <c r="Z555" s="5"/>
      <c r="AA555" s="5">
        <f t="shared" si="94"/>
        <v>10296</v>
      </c>
      <c r="AB555" s="33"/>
      <c r="AC555" s="33"/>
      <c r="AD555" s="33"/>
      <c r="AE555" s="33"/>
    </row>
    <row r="556" spans="1:31" x14ac:dyDescent="0.25">
      <c r="A556" s="3"/>
      <c r="B556" s="3"/>
      <c r="C556" s="3"/>
      <c r="D556" s="3"/>
      <c r="E556" s="3"/>
      <c r="F556" s="115" t="s">
        <v>622</v>
      </c>
      <c r="G556" s="5">
        <f>10585+10222+9923+9836+9673+9643+9673+9673+9674+9372+8701+8367</f>
        <v>115342</v>
      </c>
      <c r="H556" s="5">
        <v>65980</v>
      </c>
      <c r="I556" s="5">
        <v>24872</v>
      </c>
      <c r="J556" s="5">
        <v>24872</v>
      </c>
      <c r="K556" s="5">
        <v>24878</v>
      </c>
      <c r="L556" s="5">
        <v>74616</v>
      </c>
      <c r="M556" s="5">
        <f>24872+24871+24871</f>
        <v>74614</v>
      </c>
      <c r="N556" s="5">
        <f t="shared" si="95"/>
        <v>289832</v>
      </c>
      <c r="O556" s="3"/>
      <c r="P556" s="3"/>
      <c r="Q556" s="3"/>
      <c r="R556" s="3"/>
      <c r="S556" s="3"/>
      <c r="T556" s="3"/>
      <c r="U556" s="3"/>
      <c r="V556" s="5">
        <f t="shared" si="93"/>
        <v>289832</v>
      </c>
      <c r="W556" s="5"/>
      <c r="X556" s="16">
        <v>139456</v>
      </c>
      <c r="Y556" s="5"/>
      <c r="Z556" s="5"/>
      <c r="AA556" s="5">
        <f t="shared" si="94"/>
        <v>139456</v>
      </c>
      <c r="AB556" s="33"/>
      <c r="AC556" s="33"/>
      <c r="AD556" s="33"/>
      <c r="AE556" s="33"/>
    </row>
    <row r="557" spans="1:31" x14ac:dyDescent="0.25">
      <c r="A557" s="3"/>
      <c r="B557" s="3"/>
      <c r="C557" s="3"/>
      <c r="D557" s="3"/>
      <c r="E557" s="3"/>
      <c r="F557" s="3" t="s">
        <v>623</v>
      </c>
      <c r="G557" s="5">
        <f>2922+1686+1390+4224+2414+1808+2413+1273+1275+1364+1929+2366</f>
        <v>25064</v>
      </c>
      <c r="H557" s="5">
        <v>4493</v>
      </c>
      <c r="I557" s="5">
        <v>1300</v>
      </c>
      <c r="J557" s="5">
        <v>1299</v>
      </c>
      <c r="K557" s="5">
        <v>1300</v>
      </c>
      <c r="L557" s="5">
        <v>3951</v>
      </c>
      <c r="M557" s="5">
        <f>1328+2638+200</f>
        <v>4166</v>
      </c>
      <c r="N557" s="5">
        <f t="shared" si="95"/>
        <v>16509</v>
      </c>
      <c r="O557" s="3"/>
      <c r="P557" s="3"/>
      <c r="Q557" s="3"/>
      <c r="R557" s="3"/>
      <c r="S557" s="3"/>
      <c r="T557" s="3"/>
      <c r="U557" s="3"/>
      <c r="V557" s="5">
        <f t="shared" si="93"/>
        <v>16509</v>
      </c>
      <c r="W557" s="5"/>
      <c r="X557" s="16">
        <v>29428</v>
      </c>
      <c r="Y557" s="5"/>
      <c r="Z557" s="5"/>
      <c r="AA557" s="5">
        <f t="shared" si="94"/>
        <v>29428</v>
      </c>
      <c r="AB557" s="33"/>
      <c r="AC557" s="33"/>
      <c r="AD557" s="33"/>
      <c r="AE557" s="33"/>
    </row>
    <row r="558" spans="1:31" x14ac:dyDescent="0.25">
      <c r="A558" s="3"/>
      <c r="B558" s="3"/>
      <c r="C558" s="3"/>
      <c r="D558" s="3"/>
      <c r="E558" s="3"/>
      <c r="F558" s="3" t="s">
        <v>672</v>
      </c>
      <c r="G558" s="5">
        <f>6795+2114+2198</f>
        <v>11107</v>
      </c>
      <c r="H558" s="5">
        <v>1392</v>
      </c>
      <c r="I558" s="5"/>
      <c r="J558" s="5"/>
      <c r="K558" s="5"/>
      <c r="L558" s="5"/>
      <c r="M558" s="5"/>
      <c r="N558" s="5">
        <f t="shared" si="95"/>
        <v>1392</v>
      </c>
      <c r="O558" s="3"/>
      <c r="P558" s="3"/>
      <c r="Q558" s="3"/>
      <c r="R558" s="3"/>
      <c r="S558" s="3"/>
      <c r="T558" s="3"/>
      <c r="U558" s="3"/>
      <c r="V558" s="5">
        <f t="shared" si="93"/>
        <v>1392</v>
      </c>
      <c r="W558" s="5"/>
      <c r="X558" s="16">
        <v>16150</v>
      </c>
      <c r="Y558" s="5"/>
      <c r="Z558" s="5"/>
      <c r="AA558" s="5"/>
      <c r="AB558" s="33"/>
      <c r="AC558" s="33"/>
      <c r="AD558" s="33"/>
      <c r="AE558" s="33"/>
    </row>
    <row r="559" spans="1:31" x14ac:dyDescent="0.25">
      <c r="A559" s="3"/>
      <c r="B559" s="3"/>
      <c r="C559" s="3"/>
      <c r="D559" s="3"/>
      <c r="E559" s="3"/>
      <c r="F559" s="3" t="s">
        <v>624</v>
      </c>
      <c r="G559" s="5">
        <f>812+992+0+612+195-1+195+417+1+2182+1214+1739+507</f>
        <v>8865</v>
      </c>
      <c r="H559" s="5">
        <v>3306</v>
      </c>
      <c r="I559" s="5"/>
      <c r="J559" s="5"/>
      <c r="K559" s="5"/>
      <c r="L559" s="5">
        <v>1425</v>
      </c>
      <c r="M559" s="5">
        <f>1263+770+2</f>
        <v>2035</v>
      </c>
      <c r="N559" s="5">
        <f t="shared" si="95"/>
        <v>6766</v>
      </c>
      <c r="O559" s="3"/>
      <c r="P559" s="3"/>
      <c r="Q559" s="3"/>
      <c r="R559" s="3"/>
      <c r="S559" s="3"/>
      <c r="T559" s="3"/>
      <c r="U559" s="3"/>
      <c r="V559" s="5">
        <f t="shared" si="93"/>
        <v>6766</v>
      </c>
      <c r="W559" s="5"/>
      <c r="X559" s="16">
        <v>4289</v>
      </c>
      <c r="Y559" s="5"/>
      <c r="Z559" s="5"/>
      <c r="AA559" s="5">
        <f t="shared" si="94"/>
        <v>4289</v>
      </c>
      <c r="AB559" s="33"/>
      <c r="AC559" s="33"/>
      <c r="AD559" s="33"/>
      <c r="AE559" s="33"/>
    </row>
    <row r="560" spans="1:31" x14ac:dyDescent="0.25">
      <c r="A560" s="3"/>
      <c r="B560" s="3"/>
      <c r="C560" s="3"/>
      <c r="D560" s="3"/>
      <c r="E560" s="3"/>
      <c r="F560" s="3" t="s">
        <v>625</v>
      </c>
      <c r="G560" s="5"/>
      <c r="H560" s="5"/>
      <c r="I560" s="5"/>
      <c r="J560" s="5"/>
      <c r="K560" s="5"/>
      <c r="L560" s="5"/>
      <c r="M560" s="5"/>
      <c r="N560" s="5">
        <f t="shared" si="95"/>
        <v>0</v>
      </c>
      <c r="O560" s="3"/>
      <c r="P560" s="3"/>
      <c r="Q560" s="3"/>
      <c r="R560" s="3"/>
      <c r="S560" s="3"/>
      <c r="T560" s="3"/>
      <c r="U560" s="3"/>
      <c r="V560" s="5">
        <f t="shared" si="93"/>
        <v>0</v>
      </c>
      <c r="W560" s="5"/>
      <c r="X560" s="16">
        <v>0</v>
      </c>
      <c r="Y560" s="5"/>
      <c r="Z560" s="5"/>
      <c r="AA560" s="5">
        <f t="shared" si="94"/>
        <v>0</v>
      </c>
      <c r="AB560" s="33"/>
      <c r="AC560" s="33"/>
      <c r="AD560" s="33"/>
      <c r="AE560" s="33"/>
    </row>
    <row r="561" spans="1:31" x14ac:dyDescent="0.25">
      <c r="A561" s="3">
        <v>5</v>
      </c>
      <c r="B561" s="3">
        <v>1</v>
      </c>
      <c r="C561" s="3">
        <v>3</v>
      </c>
      <c r="D561" s="3">
        <v>2</v>
      </c>
      <c r="E561" s="3"/>
      <c r="F561" s="3" t="s">
        <v>310</v>
      </c>
      <c r="G561" s="21">
        <f t="shared" ref="G561:V561" si="96">SUM(G562)</f>
        <v>6000</v>
      </c>
      <c r="H561" s="21">
        <f t="shared" si="96"/>
        <v>0</v>
      </c>
      <c r="I561" s="21">
        <f t="shared" si="96"/>
        <v>0</v>
      </c>
      <c r="J561" s="21">
        <f t="shared" si="96"/>
        <v>0</v>
      </c>
      <c r="K561" s="21">
        <f t="shared" si="96"/>
        <v>0</v>
      </c>
      <c r="L561" s="21"/>
      <c r="M561" s="21"/>
      <c r="N561" s="21">
        <f t="shared" si="96"/>
        <v>13673</v>
      </c>
      <c r="O561" s="21">
        <f t="shared" si="96"/>
        <v>0</v>
      </c>
      <c r="P561" s="21">
        <f t="shared" si="96"/>
        <v>0</v>
      </c>
      <c r="Q561" s="21">
        <f t="shared" si="96"/>
        <v>0</v>
      </c>
      <c r="R561" s="21">
        <f t="shared" si="96"/>
        <v>0</v>
      </c>
      <c r="S561" s="21"/>
      <c r="T561" s="21"/>
      <c r="U561" s="21">
        <f t="shared" si="96"/>
        <v>0</v>
      </c>
      <c r="V561" s="21">
        <f t="shared" si="96"/>
        <v>13673</v>
      </c>
      <c r="W561" s="21"/>
      <c r="X561" s="21">
        <f t="shared" ref="X561" si="97">SUM(X562)</f>
        <v>33000</v>
      </c>
      <c r="Y561" s="21"/>
      <c r="Z561" s="21"/>
      <c r="AA561" s="21">
        <f>SUM(AA562)</f>
        <v>33000</v>
      </c>
      <c r="AB561" s="33"/>
      <c r="AC561" s="33"/>
      <c r="AD561" s="33"/>
      <c r="AE561" s="33"/>
    </row>
    <row r="562" spans="1:31" x14ac:dyDescent="0.25">
      <c r="A562" s="3"/>
      <c r="B562" s="3"/>
      <c r="C562" s="3"/>
      <c r="D562" s="3"/>
      <c r="E562" s="3"/>
      <c r="F562" s="3" t="s">
        <v>626</v>
      </c>
      <c r="G562" s="5">
        <f>1500+1500+1500+1500</f>
        <v>6000</v>
      </c>
      <c r="H562" s="5">
        <v>0</v>
      </c>
      <c r="I562" s="5">
        <v>0</v>
      </c>
      <c r="J562" s="5">
        <v>0</v>
      </c>
      <c r="K562" s="5">
        <v>0</v>
      </c>
      <c r="L562" s="5">
        <v>7409</v>
      </c>
      <c r="M562" s="5">
        <f>2088+2088+2088</f>
        <v>6264</v>
      </c>
      <c r="N562" s="5">
        <f>SUM(H562:M562)</f>
        <v>13673</v>
      </c>
      <c r="O562" s="3"/>
      <c r="P562" s="3"/>
      <c r="Q562" s="3"/>
      <c r="R562" s="3"/>
      <c r="S562" s="3"/>
      <c r="T562" s="3"/>
      <c r="U562" s="3"/>
      <c r="V562" s="5">
        <f t="shared" si="93"/>
        <v>13673</v>
      </c>
      <c r="W562" s="5"/>
      <c r="X562" s="16">
        <v>33000</v>
      </c>
      <c r="Y562" s="5"/>
      <c r="Z562" s="5"/>
      <c r="AA562" s="5">
        <f t="shared" si="94"/>
        <v>33000</v>
      </c>
      <c r="AB562" s="33"/>
      <c r="AC562" s="33"/>
      <c r="AD562" s="33"/>
      <c r="AE562" s="33"/>
    </row>
    <row r="563" spans="1:31" ht="24" x14ac:dyDescent="0.25">
      <c r="A563" s="3">
        <v>5</v>
      </c>
      <c r="B563" s="3">
        <v>1</v>
      </c>
      <c r="C563" s="3">
        <v>3</v>
      </c>
      <c r="D563" s="3">
        <v>3</v>
      </c>
      <c r="E563" s="3"/>
      <c r="F563" s="3" t="s">
        <v>311</v>
      </c>
      <c r="G563" s="21">
        <f>SUM(G564:G571)</f>
        <v>2681747</v>
      </c>
      <c r="H563" s="21">
        <f>SUM(H564:H571)</f>
        <v>222933</v>
      </c>
      <c r="I563" s="21">
        <f>SUM(I564:I571)</f>
        <v>56415</v>
      </c>
      <c r="J563" s="21">
        <f>SUM(J564:J571)</f>
        <v>79033</v>
      </c>
      <c r="K563" s="21">
        <f>SUM(K564:K571)</f>
        <v>112660</v>
      </c>
      <c r="L563" s="21"/>
      <c r="M563" s="21"/>
      <c r="N563" s="21">
        <f>SUM(N564:N571)</f>
        <v>1138552</v>
      </c>
      <c r="O563" s="21">
        <f>SUM(O564:O571)</f>
        <v>0</v>
      </c>
      <c r="P563" s="21">
        <f>SUM(P564:P571)</f>
        <v>0</v>
      </c>
      <c r="Q563" s="21">
        <f>SUM(Q564:Q571)</f>
        <v>0</v>
      </c>
      <c r="R563" s="21">
        <f>SUM(R564:R571)</f>
        <v>0</v>
      </c>
      <c r="S563" s="21"/>
      <c r="T563" s="21"/>
      <c r="U563" s="21">
        <f>SUM(U564:U571)</f>
        <v>0</v>
      </c>
      <c r="V563" s="21">
        <f>SUM(V564:V571)</f>
        <v>1138552</v>
      </c>
      <c r="W563" s="21"/>
      <c r="X563" s="21">
        <f>SUM(X564:X571)</f>
        <v>13342881</v>
      </c>
      <c r="Y563" s="21"/>
      <c r="Z563" s="21"/>
      <c r="AA563" s="21">
        <f>SUM(AA564:AA571)</f>
        <v>13342881</v>
      </c>
      <c r="AB563" s="33"/>
      <c r="AC563" s="33"/>
      <c r="AD563" s="33"/>
      <c r="AE563" s="33"/>
    </row>
    <row r="564" spans="1:31" ht="24" x14ac:dyDescent="0.25">
      <c r="A564" s="3"/>
      <c r="B564" s="3"/>
      <c r="C564" s="3"/>
      <c r="D564" s="3"/>
      <c r="E564" s="3"/>
      <c r="F564" s="3" t="s">
        <v>627</v>
      </c>
      <c r="G564" s="5">
        <v>139200</v>
      </c>
      <c r="H564" s="5">
        <v>45000</v>
      </c>
      <c r="I564" s="5">
        <v>15000</v>
      </c>
      <c r="J564" s="5">
        <v>15000</v>
      </c>
      <c r="K564" s="5">
        <v>15000</v>
      </c>
      <c r="L564" s="5">
        <v>45000</v>
      </c>
      <c r="M564" s="5">
        <f>15000+15000+30000</f>
        <v>60000</v>
      </c>
      <c r="N564" s="5">
        <f>SUM(H564:M564)</f>
        <v>195000</v>
      </c>
      <c r="O564" s="3"/>
      <c r="P564" s="3"/>
      <c r="Q564" s="3"/>
      <c r="R564" s="3"/>
      <c r="S564" s="3"/>
      <c r="T564" s="3"/>
      <c r="U564" s="3"/>
      <c r="V564" s="5">
        <f t="shared" si="93"/>
        <v>195000</v>
      </c>
      <c r="W564" s="5"/>
      <c r="X564" s="16">
        <v>139200</v>
      </c>
      <c r="Y564" s="5"/>
      <c r="Z564" s="5"/>
      <c r="AA564" s="5">
        <f t="shared" si="94"/>
        <v>139200</v>
      </c>
      <c r="AB564" s="33"/>
      <c r="AC564" s="33"/>
      <c r="AD564" s="33"/>
      <c r="AE564" s="33"/>
    </row>
    <row r="565" spans="1:31" x14ac:dyDescent="0.25">
      <c r="A565" s="3"/>
      <c r="B565" s="3"/>
      <c r="C565" s="3"/>
      <c r="D565" s="3"/>
      <c r="E565" s="3"/>
      <c r="F565" s="3" t="s">
        <v>673</v>
      </c>
      <c r="G565" s="5">
        <f>6+185600</f>
        <v>185606</v>
      </c>
      <c r="H565" s="5">
        <v>0</v>
      </c>
      <c r="I565" s="5"/>
      <c r="J565" s="5"/>
      <c r="K565" s="5"/>
      <c r="L565" s="5"/>
      <c r="M565" s="5"/>
      <c r="N565" s="5">
        <f t="shared" ref="N565:N571" si="98">SUM(H565:M565)</f>
        <v>0</v>
      </c>
      <c r="O565" s="3"/>
      <c r="P565" s="3"/>
      <c r="Q565" s="3"/>
      <c r="R565" s="3"/>
      <c r="S565" s="3"/>
      <c r="T565" s="3"/>
      <c r="U565" s="3"/>
      <c r="V565" s="5">
        <f t="shared" si="93"/>
        <v>0</v>
      </c>
      <c r="W565" s="5"/>
      <c r="X565" s="16">
        <v>11858973</v>
      </c>
      <c r="Y565" s="5"/>
      <c r="Z565" s="5"/>
      <c r="AA565" s="5">
        <f t="shared" si="94"/>
        <v>11858973</v>
      </c>
      <c r="AB565" s="33"/>
      <c r="AC565" s="33"/>
      <c r="AD565" s="33"/>
      <c r="AE565" s="33"/>
    </row>
    <row r="566" spans="1:31" ht="24" x14ac:dyDescent="0.25">
      <c r="A566" s="3"/>
      <c r="B566" s="3"/>
      <c r="C566" s="3"/>
      <c r="D566" s="3"/>
      <c r="E566" s="3"/>
      <c r="F566" s="3" t="s">
        <v>628</v>
      </c>
      <c r="G566" s="5">
        <f>15000+15000+15000+0+30000+0+30000+15000+26500+30000</f>
        <v>176500</v>
      </c>
      <c r="H566" s="5">
        <v>0</v>
      </c>
      <c r="I566" s="5"/>
      <c r="J566" s="5"/>
      <c r="K566" s="5"/>
      <c r="L566" s="5"/>
      <c r="M566" s="5"/>
      <c r="N566" s="5">
        <f t="shared" si="98"/>
        <v>0</v>
      </c>
      <c r="O566" s="3"/>
      <c r="P566" s="3"/>
      <c r="Q566" s="3"/>
      <c r="R566" s="3"/>
      <c r="S566" s="3"/>
      <c r="T566" s="3"/>
      <c r="U566" s="3"/>
      <c r="V566" s="5">
        <f t="shared" si="93"/>
        <v>0</v>
      </c>
      <c r="W566" s="5"/>
      <c r="X566" s="16">
        <v>203411</v>
      </c>
      <c r="Y566" s="5"/>
      <c r="Z566" s="5"/>
      <c r="AA566" s="5">
        <f t="shared" si="94"/>
        <v>203411</v>
      </c>
      <c r="AB566" s="33"/>
      <c r="AC566" s="33"/>
      <c r="AD566" s="33"/>
      <c r="AE566" s="33"/>
    </row>
    <row r="567" spans="1:31" x14ac:dyDescent="0.25">
      <c r="A567" s="3"/>
      <c r="B567" s="3"/>
      <c r="C567" s="3"/>
      <c r="D567" s="3"/>
      <c r="E567" s="3"/>
      <c r="F567" s="3" t="s">
        <v>629</v>
      </c>
      <c r="G567" s="5">
        <f>10500+29000</f>
        <v>39500</v>
      </c>
      <c r="H567" s="5">
        <v>5800</v>
      </c>
      <c r="I567" s="5"/>
      <c r="J567" s="5"/>
      <c r="K567" s="5"/>
      <c r="L567" s="5"/>
      <c r="M567" s="5"/>
      <c r="N567" s="5">
        <f t="shared" si="98"/>
        <v>5800</v>
      </c>
      <c r="O567" s="3"/>
      <c r="P567" s="3"/>
      <c r="Q567" s="3"/>
      <c r="R567" s="3"/>
      <c r="S567" s="3"/>
      <c r="T567" s="3"/>
      <c r="U567" s="3"/>
      <c r="V567" s="5">
        <f t="shared" si="93"/>
        <v>5800</v>
      </c>
      <c r="W567" s="5"/>
      <c r="X567" s="16">
        <v>15290</v>
      </c>
      <c r="Y567" s="5"/>
      <c r="Z567" s="5"/>
      <c r="AA567" s="5">
        <f t="shared" si="94"/>
        <v>15290</v>
      </c>
      <c r="AB567" s="33"/>
      <c r="AC567" s="33"/>
      <c r="AD567" s="33"/>
      <c r="AE567" s="33"/>
    </row>
    <row r="568" spans="1:31" x14ac:dyDescent="0.25">
      <c r="A568" s="3"/>
      <c r="B568" s="3"/>
      <c r="C568" s="3"/>
      <c r="D568" s="3"/>
      <c r="E568" s="3"/>
      <c r="F568" s="3" t="s">
        <v>658</v>
      </c>
      <c r="G568" s="5">
        <f>11500+46000+0+2753+8757+0+3893+10634+6065</f>
        <v>89602</v>
      </c>
      <c r="H568" s="5">
        <v>10528</v>
      </c>
      <c r="I568" s="5"/>
      <c r="J568" s="5">
        <v>800</v>
      </c>
      <c r="K568" s="5">
        <v>945</v>
      </c>
      <c r="L568" s="5">
        <v>8003</v>
      </c>
      <c r="M568" s="5">
        <f>16470+5884</f>
        <v>22354</v>
      </c>
      <c r="N568" s="5">
        <f t="shared" si="98"/>
        <v>42630</v>
      </c>
      <c r="O568" s="3"/>
      <c r="P568" s="3"/>
      <c r="Q568" s="3"/>
      <c r="R568" s="3"/>
      <c r="S568" s="3"/>
      <c r="T568" s="3"/>
      <c r="U568" s="3"/>
      <c r="V568" s="5">
        <f t="shared" si="93"/>
        <v>42630</v>
      </c>
      <c r="W568" s="5"/>
      <c r="X568" s="16">
        <v>189767</v>
      </c>
      <c r="Y568" s="5"/>
      <c r="Z568" s="5"/>
      <c r="AA568" s="5">
        <f t="shared" si="94"/>
        <v>189767</v>
      </c>
      <c r="AB568" s="33"/>
      <c r="AC568" s="33"/>
      <c r="AD568" s="33"/>
      <c r="AE568" s="33"/>
    </row>
    <row r="569" spans="1:31" ht="24" x14ac:dyDescent="0.25">
      <c r="A569" s="3"/>
      <c r="B569" s="3"/>
      <c r="C569" s="3"/>
      <c r="D569" s="3"/>
      <c r="E569" s="3"/>
      <c r="F569" s="3" t="s">
        <v>630</v>
      </c>
      <c r="G569" s="5">
        <f>174118+98031+83518+89092+84847+83590+92647+70539+67539+33530-1+157941+23000</f>
        <v>1058391</v>
      </c>
      <c r="H569" s="5">
        <v>37360</v>
      </c>
      <c r="I569" s="5"/>
      <c r="J569" s="5">
        <v>21818</v>
      </c>
      <c r="K569" s="5">
        <v>55000</v>
      </c>
      <c r="L569" s="5">
        <v>26538</v>
      </c>
      <c r="M569" s="5">
        <f>17353+239772+1</f>
        <v>257126</v>
      </c>
      <c r="N569" s="5">
        <f t="shared" si="98"/>
        <v>397842</v>
      </c>
      <c r="O569" s="3"/>
      <c r="P569" s="3"/>
      <c r="Q569" s="3"/>
      <c r="R569" s="3"/>
      <c r="S569" s="3"/>
      <c r="T569" s="3"/>
      <c r="U569" s="3"/>
      <c r="V569" s="5">
        <f t="shared" si="93"/>
        <v>397842</v>
      </c>
      <c r="W569" s="5"/>
      <c r="X569" s="16">
        <v>381056</v>
      </c>
      <c r="Y569" s="5"/>
      <c r="Z569" s="5"/>
      <c r="AA569" s="5">
        <f t="shared" si="94"/>
        <v>381056</v>
      </c>
      <c r="AB569" s="33"/>
      <c r="AC569" s="33"/>
      <c r="AD569" s="33"/>
      <c r="AE569" s="33"/>
    </row>
    <row r="570" spans="1:31" x14ac:dyDescent="0.25">
      <c r="A570" s="3"/>
      <c r="B570" s="3"/>
      <c r="C570" s="3"/>
      <c r="D570" s="3"/>
      <c r="E570" s="3"/>
      <c r="F570" s="3" t="s">
        <v>631</v>
      </c>
      <c r="G570" s="5">
        <f>36157+39201+37679+37679+37679+37679+37679+37679+37679+37679+37679+37679</f>
        <v>452148</v>
      </c>
      <c r="H570" s="5">
        <v>124245</v>
      </c>
      <c r="I570" s="5">
        <v>41415</v>
      </c>
      <c r="J570" s="5">
        <v>41415</v>
      </c>
      <c r="K570" s="5">
        <v>41415</v>
      </c>
      <c r="L570" s="5">
        <v>124245</v>
      </c>
      <c r="M570" s="5">
        <f>41415+41415+41415</f>
        <v>124245</v>
      </c>
      <c r="N570" s="5">
        <f t="shared" si="98"/>
        <v>496980</v>
      </c>
      <c r="O570" s="3"/>
      <c r="P570" s="3"/>
      <c r="Q570" s="3"/>
      <c r="R570" s="3"/>
      <c r="S570" s="3"/>
      <c r="T570" s="3"/>
      <c r="U570" s="3"/>
      <c r="V570" s="5">
        <f t="shared" si="93"/>
        <v>496980</v>
      </c>
      <c r="W570" s="5"/>
      <c r="X570" s="16">
        <v>406026</v>
      </c>
      <c r="Y570" s="5"/>
      <c r="Z570" s="5"/>
      <c r="AA570" s="5">
        <f t="shared" si="94"/>
        <v>406026</v>
      </c>
      <c r="AB570" s="33"/>
      <c r="AC570" s="33"/>
      <c r="AD570" s="33"/>
      <c r="AE570" s="33"/>
    </row>
    <row r="571" spans="1:31" ht="24" x14ac:dyDescent="0.25">
      <c r="A571" s="3"/>
      <c r="B571" s="3"/>
      <c r="C571" s="3"/>
      <c r="D571" s="3"/>
      <c r="E571" s="3"/>
      <c r="F571" s="3" t="s">
        <v>632</v>
      </c>
      <c r="G571" s="5">
        <f>107800+159700+248300+0+25000</f>
        <v>540800</v>
      </c>
      <c r="H571" s="5">
        <v>0</v>
      </c>
      <c r="I571" s="5"/>
      <c r="J571" s="5"/>
      <c r="K571" s="5">
        <v>300</v>
      </c>
      <c r="L571" s="5">
        <v>0</v>
      </c>
      <c r="M571" s="5"/>
      <c r="N571" s="5">
        <f t="shared" si="98"/>
        <v>300</v>
      </c>
      <c r="O571" s="3"/>
      <c r="P571" s="3"/>
      <c r="Q571" s="3"/>
      <c r="R571" s="3"/>
      <c r="S571" s="3"/>
      <c r="T571" s="3"/>
      <c r="U571" s="3"/>
      <c r="V571" s="5">
        <f t="shared" si="93"/>
        <v>300</v>
      </c>
      <c r="W571" s="5"/>
      <c r="X571" s="16">
        <v>149158</v>
      </c>
      <c r="Y571" s="5"/>
      <c r="Z571" s="5"/>
      <c r="AA571" s="5">
        <f t="shared" si="94"/>
        <v>149158</v>
      </c>
      <c r="AB571" s="33"/>
      <c r="AC571" s="33"/>
      <c r="AD571" s="33"/>
      <c r="AE571" s="33"/>
    </row>
    <row r="572" spans="1:31" x14ac:dyDescent="0.25">
      <c r="A572" s="3">
        <v>5</v>
      </c>
      <c r="B572" s="3">
        <v>1</v>
      </c>
      <c r="C572" s="3">
        <v>3</v>
      </c>
      <c r="D572" s="3">
        <v>4</v>
      </c>
      <c r="E572" s="3"/>
      <c r="F572" s="3" t="s">
        <v>312</v>
      </c>
      <c r="G572" s="21">
        <f>SUM(G573:G576)</f>
        <v>6979</v>
      </c>
      <c r="H572" s="21">
        <f>SUM(H573:H576)</f>
        <v>10586</v>
      </c>
      <c r="I572" s="21">
        <v>4102</v>
      </c>
      <c r="J572" s="21">
        <f>SUM(J573:J576)</f>
        <v>2375</v>
      </c>
      <c r="K572" s="21">
        <f>SUM(K573:K576)</f>
        <v>2589</v>
      </c>
      <c r="L572" s="21"/>
      <c r="M572" s="21"/>
      <c r="N572" s="21">
        <f>SUM(N573:N576)</f>
        <v>82472</v>
      </c>
      <c r="O572" s="21">
        <f>SUM(O573:O576)</f>
        <v>0</v>
      </c>
      <c r="P572" s="21">
        <f>SUM(P573:P576)</f>
        <v>0</v>
      </c>
      <c r="Q572" s="21">
        <f>SUM(Q573:Q576)</f>
        <v>0</v>
      </c>
      <c r="R572" s="21">
        <f>SUM(R573:R576)</f>
        <v>0</v>
      </c>
      <c r="S572" s="21"/>
      <c r="T572" s="21"/>
      <c r="U572" s="21">
        <f>SUM(U573:U576)</f>
        <v>0</v>
      </c>
      <c r="V572" s="21">
        <f>SUM(V573:V576)</f>
        <v>82472</v>
      </c>
      <c r="W572" s="21"/>
      <c r="X572" s="21">
        <f>SUM(X573:X576)</f>
        <v>27911</v>
      </c>
      <c r="Y572" s="21"/>
      <c r="Z572" s="21"/>
      <c r="AA572" s="21">
        <f>SUM(AA573:AA576)</f>
        <v>27911</v>
      </c>
      <c r="AB572" s="33"/>
      <c r="AC572" s="33"/>
      <c r="AD572" s="33"/>
      <c r="AE572" s="33"/>
    </row>
    <row r="573" spans="1:31" x14ac:dyDescent="0.25">
      <c r="A573" s="3"/>
      <c r="B573" s="3"/>
      <c r="C573" s="3"/>
      <c r="D573" s="3"/>
      <c r="E573" s="3"/>
      <c r="F573" s="3" t="s">
        <v>633</v>
      </c>
      <c r="G573" s="5">
        <f>938+372+348+348+1044+348+1044+696+80+0</f>
        <v>5218</v>
      </c>
      <c r="H573" s="5">
        <v>0</v>
      </c>
      <c r="I573" s="5">
        <v>0</v>
      </c>
      <c r="J573" s="5">
        <v>0</v>
      </c>
      <c r="K573" s="5">
        <v>0</v>
      </c>
      <c r="L573" s="5"/>
      <c r="M573" s="5"/>
      <c r="N573" s="5">
        <f>SUM(H573:M573)</f>
        <v>0</v>
      </c>
      <c r="O573" s="3"/>
      <c r="P573" s="3"/>
      <c r="Q573" s="3"/>
      <c r="R573" s="3"/>
      <c r="S573" s="3"/>
      <c r="T573" s="3"/>
      <c r="U573" s="3"/>
      <c r="V573" s="5">
        <f t="shared" si="93"/>
        <v>0</v>
      </c>
      <c r="W573" s="5"/>
      <c r="X573" s="16">
        <v>4176</v>
      </c>
      <c r="Y573" s="5"/>
      <c r="Z573" s="5"/>
      <c r="AA573" s="5">
        <f t="shared" si="94"/>
        <v>4176</v>
      </c>
      <c r="AB573" s="33"/>
      <c r="AC573" s="33"/>
      <c r="AD573" s="33"/>
      <c r="AE573" s="33"/>
    </row>
    <row r="574" spans="1:31" x14ac:dyDescent="0.25">
      <c r="A574" s="3"/>
      <c r="B574" s="3"/>
      <c r="C574" s="3"/>
      <c r="D574" s="3"/>
      <c r="E574" s="3"/>
      <c r="F574" s="3" t="s">
        <v>634</v>
      </c>
      <c r="G574" s="5"/>
      <c r="H574" s="5"/>
      <c r="I574" s="5"/>
      <c r="J574" s="5"/>
      <c r="K574" s="5"/>
      <c r="L574" s="5"/>
      <c r="M574" s="5"/>
      <c r="N574" s="5">
        <f t="shared" ref="N574:N576" si="99">SUM(H574:M574)</f>
        <v>0</v>
      </c>
      <c r="O574" s="3"/>
      <c r="P574" s="3"/>
      <c r="Q574" s="3"/>
      <c r="R574" s="3"/>
      <c r="S574" s="3"/>
      <c r="T574" s="3"/>
      <c r="U574" s="3"/>
      <c r="V574" s="5">
        <f t="shared" si="93"/>
        <v>0</v>
      </c>
      <c r="W574" s="5"/>
      <c r="X574" s="16">
        <v>7809</v>
      </c>
      <c r="Y574" s="5"/>
      <c r="Z574" s="5"/>
      <c r="AA574" s="5">
        <f t="shared" si="94"/>
        <v>7809</v>
      </c>
      <c r="AB574" s="33"/>
      <c r="AC574" s="33"/>
      <c r="AD574" s="33"/>
      <c r="AE574" s="33"/>
    </row>
    <row r="575" spans="1:31" x14ac:dyDescent="0.25">
      <c r="A575" s="3"/>
      <c r="B575" s="3"/>
      <c r="C575" s="3"/>
      <c r="D575" s="3"/>
      <c r="E575" s="3"/>
      <c r="F575" s="3" t="s">
        <v>635</v>
      </c>
      <c r="G575" s="5"/>
      <c r="H575" s="5"/>
      <c r="I575" s="5"/>
      <c r="J575" s="5"/>
      <c r="K575" s="5"/>
      <c r="L575" s="5">
        <v>36071</v>
      </c>
      <c r="M575" s="5">
        <v>7605</v>
      </c>
      <c r="N575" s="5">
        <f t="shared" si="99"/>
        <v>43676</v>
      </c>
      <c r="O575" s="3"/>
      <c r="P575" s="3"/>
      <c r="Q575" s="3"/>
      <c r="R575" s="3"/>
      <c r="S575" s="3"/>
      <c r="T575" s="3"/>
      <c r="U575" s="3"/>
      <c r="V575" s="5">
        <f t="shared" si="93"/>
        <v>43676</v>
      </c>
      <c r="W575" s="5"/>
      <c r="X575" s="16">
        <v>13152</v>
      </c>
      <c r="Y575" s="5"/>
      <c r="Z575" s="5"/>
      <c r="AA575" s="5">
        <f t="shared" si="94"/>
        <v>13152</v>
      </c>
      <c r="AB575" s="33"/>
      <c r="AC575" s="33"/>
      <c r="AD575" s="33"/>
      <c r="AE575" s="33"/>
    </row>
    <row r="576" spans="1:31" ht="24" x14ac:dyDescent="0.25">
      <c r="A576" s="3"/>
      <c r="B576" s="3"/>
      <c r="C576" s="3"/>
      <c r="D576" s="3"/>
      <c r="E576" s="3"/>
      <c r="F576" s="3" t="s">
        <v>636</v>
      </c>
      <c r="G576" s="5">
        <f>1228+0+55+479-1</f>
        <v>1761</v>
      </c>
      <c r="H576" s="5">
        <v>10586</v>
      </c>
      <c r="I576" s="5">
        <v>4102</v>
      </c>
      <c r="J576" s="5">
        <v>2375</v>
      </c>
      <c r="K576" s="5">
        <v>2589</v>
      </c>
      <c r="L576" s="5">
        <v>8508</v>
      </c>
      <c r="M576" s="5">
        <f>3825+2308+4503</f>
        <v>10636</v>
      </c>
      <c r="N576" s="5">
        <f t="shared" si="99"/>
        <v>38796</v>
      </c>
      <c r="O576" s="3"/>
      <c r="P576" s="3"/>
      <c r="Q576" s="3"/>
      <c r="R576" s="3"/>
      <c r="S576" s="3"/>
      <c r="T576" s="3"/>
      <c r="U576" s="3"/>
      <c r="V576" s="5">
        <f t="shared" si="93"/>
        <v>38796</v>
      </c>
      <c r="W576" s="5"/>
      <c r="X576" s="16">
        <v>2774</v>
      </c>
      <c r="Y576" s="5"/>
      <c r="Z576" s="5"/>
      <c r="AA576" s="5">
        <f t="shared" si="94"/>
        <v>2774</v>
      </c>
      <c r="AB576" s="33"/>
      <c r="AC576" s="33"/>
      <c r="AD576" s="33"/>
      <c r="AE576" s="33"/>
    </row>
    <row r="577" spans="1:31" ht="24" x14ac:dyDescent="0.25">
      <c r="A577" s="3">
        <v>5</v>
      </c>
      <c r="B577" s="3">
        <v>1</v>
      </c>
      <c r="C577" s="3">
        <v>3</v>
      </c>
      <c r="D577" s="3">
        <v>5</v>
      </c>
      <c r="E577" s="3"/>
      <c r="F577" s="3" t="s">
        <v>313</v>
      </c>
      <c r="G577" s="21">
        <f>SUM(G578:G583)</f>
        <v>100607</v>
      </c>
      <c r="H577" s="21">
        <f>SUM(H578:H583)</f>
        <v>50248</v>
      </c>
      <c r="I577" s="21">
        <f>SUM(I578:I583)</f>
        <v>5949</v>
      </c>
      <c r="J577" s="21">
        <f>SUM(J578:J583)</f>
        <v>11334</v>
      </c>
      <c r="K577" s="21">
        <f>SUM(K578:K583)</f>
        <v>0</v>
      </c>
      <c r="L577" s="21"/>
      <c r="M577" s="21"/>
      <c r="N577" s="21">
        <f>SUM(N578:N583)</f>
        <v>108027</v>
      </c>
      <c r="O577" s="21">
        <f>SUM(O578:O583)</f>
        <v>0</v>
      </c>
      <c r="P577" s="21">
        <f>SUM(P578:P583)</f>
        <v>0</v>
      </c>
      <c r="Q577" s="21">
        <f>SUM(Q578:Q583)</f>
        <v>0</v>
      </c>
      <c r="R577" s="21">
        <f>SUM(R578:R583)</f>
        <v>0</v>
      </c>
      <c r="S577" s="21"/>
      <c r="T577" s="21"/>
      <c r="U577" s="21">
        <f>SUM(U578:U583)</f>
        <v>0</v>
      </c>
      <c r="V577" s="21">
        <f>SUM(V578:V583)</f>
        <v>108027</v>
      </c>
      <c r="W577" s="21"/>
      <c r="X577" s="21">
        <f>SUM(X578:X583)</f>
        <v>47150</v>
      </c>
      <c r="Y577" s="21"/>
      <c r="Z577" s="21"/>
      <c r="AA577" s="21">
        <f>SUM(AA578:AA583)</f>
        <v>16357</v>
      </c>
      <c r="AB577" s="33"/>
      <c r="AC577" s="33"/>
      <c r="AD577" s="33"/>
      <c r="AE577" s="33"/>
    </row>
    <row r="578" spans="1:31" x14ac:dyDescent="0.25">
      <c r="A578" s="3"/>
      <c r="B578" s="3"/>
      <c r="C578" s="3"/>
      <c r="D578" s="3"/>
      <c r="E578" s="3"/>
      <c r="F578" s="3" t="s">
        <v>637</v>
      </c>
      <c r="G578" s="5">
        <f>1935+0+23169+0+0+0</f>
        <v>25104</v>
      </c>
      <c r="H578" s="5">
        <v>12533</v>
      </c>
      <c r="I578" s="5"/>
      <c r="J578" s="5"/>
      <c r="K578" s="5"/>
      <c r="L578" s="5"/>
      <c r="M578" s="5"/>
      <c r="N578" s="5">
        <f>SUM(H578:M578)</f>
        <v>12533</v>
      </c>
      <c r="O578" s="3"/>
      <c r="P578" s="3"/>
      <c r="Q578" s="3"/>
      <c r="R578" s="3"/>
      <c r="S578" s="3"/>
      <c r="T578" s="3"/>
      <c r="U578" s="3"/>
      <c r="V578" s="5">
        <f t="shared" si="93"/>
        <v>12533</v>
      </c>
      <c r="W578" s="5"/>
      <c r="X578" s="16">
        <v>8376</v>
      </c>
      <c r="Y578" s="5"/>
      <c r="Z578" s="5"/>
      <c r="AA578" s="5">
        <f t="shared" si="94"/>
        <v>8376</v>
      </c>
      <c r="AB578" s="33"/>
      <c r="AC578" s="33"/>
      <c r="AD578" s="33"/>
      <c r="AE578" s="33"/>
    </row>
    <row r="579" spans="1:31" ht="36" x14ac:dyDescent="0.25">
      <c r="A579" s="3"/>
      <c r="B579" s="3"/>
      <c r="C579" s="3"/>
      <c r="D579" s="3"/>
      <c r="E579" s="3"/>
      <c r="F579" s="3" t="s">
        <v>639</v>
      </c>
      <c r="G579" s="5">
        <f>7424+522+928+1334+12714+2165-1</f>
        <v>25086</v>
      </c>
      <c r="H579" s="5">
        <v>0</v>
      </c>
      <c r="I579" s="5">
        <v>0</v>
      </c>
      <c r="J579" s="5">
        <v>0</v>
      </c>
      <c r="K579" s="5">
        <v>0</v>
      </c>
      <c r="L579" s="5"/>
      <c r="M579" s="5"/>
      <c r="N579" s="5">
        <f t="shared" ref="N579:N583" si="100">SUM(H579:M579)</f>
        <v>0</v>
      </c>
      <c r="O579" s="3"/>
      <c r="P579" s="3"/>
      <c r="Q579" s="3"/>
      <c r="R579" s="3"/>
      <c r="S579" s="3"/>
      <c r="T579" s="3"/>
      <c r="U579" s="3"/>
      <c r="V579" s="5">
        <f t="shared" si="93"/>
        <v>0</v>
      </c>
      <c r="W579" s="5"/>
      <c r="X579" s="16">
        <v>7981</v>
      </c>
      <c r="Y579" s="5"/>
      <c r="Z579" s="5"/>
      <c r="AA579" s="5">
        <f t="shared" si="94"/>
        <v>7981</v>
      </c>
      <c r="AB579" s="33"/>
      <c r="AC579" s="33"/>
      <c r="AD579" s="33"/>
      <c r="AE579" s="33"/>
    </row>
    <row r="580" spans="1:31" ht="24" x14ac:dyDescent="0.25">
      <c r="A580" s="3"/>
      <c r="B580" s="3"/>
      <c r="C580" s="3"/>
      <c r="D580" s="3"/>
      <c r="E580" s="3"/>
      <c r="F580" s="3" t="s">
        <v>638</v>
      </c>
      <c r="G580" s="5">
        <f>19212</f>
        <v>19212</v>
      </c>
      <c r="H580" s="5">
        <v>1740</v>
      </c>
      <c r="I580" s="5"/>
      <c r="J580" s="5">
        <v>522</v>
      </c>
      <c r="K580" s="5"/>
      <c r="L580" s="5"/>
      <c r="M580" s="5"/>
      <c r="N580" s="5">
        <f t="shared" si="100"/>
        <v>2262</v>
      </c>
      <c r="O580" s="3"/>
      <c r="P580" s="3"/>
      <c r="Q580" s="3"/>
      <c r="R580" s="3"/>
      <c r="S580" s="3"/>
      <c r="T580" s="3"/>
      <c r="U580" s="3"/>
      <c r="V580" s="5">
        <f t="shared" si="93"/>
        <v>2262</v>
      </c>
      <c r="W580" s="5"/>
      <c r="X580" s="16">
        <v>0</v>
      </c>
      <c r="Y580" s="5"/>
      <c r="Z580" s="5"/>
      <c r="AA580" s="5">
        <f t="shared" si="94"/>
        <v>0</v>
      </c>
      <c r="AB580" s="33"/>
      <c r="AC580" s="33"/>
      <c r="AD580" s="33"/>
      <c r="AE580" s="33"/>
    </row>
    <row r="581" spans="1:31" x14ac:dyDescent="0.25">
      <c r="A581" s="3"/>
      <c r="B581" s="3"/>
      <c r="C581" s="3"/>
      <c r="D581" s="3"/>
      <c r="E581" s="3"/>
      <c r="F581" s="3" t="s">
        <v>640</v>
      </c>
      <c r="G581" s="5">
        <f>8503+0+0+0+7477+607+0+5800+5962</f>
        <v>28349</v>
      </c>
      <c r="H581" s="5">
        <v>35975</v>
      </c>
      <c r="I581" s="5">
        <v>5949</v>
      </c>
      <c r="J581" s="5">
        <v>10812</v>
      </c>
      <c r="K581" s="5">
        <v>0</v>
      </c>
      <c r="L581" s="5">
        <v>25508</v>
      </c>
      <c r="M581" s="5">
        <f>10439+1185+0</f>
        <v>11624</v>
      </c>
      <c r="N581" s="5">
        <f t="shared" si="100"/>
        <v>89868</v>
      </c>
      <c r="O581" s="3"/>
      <c r="P581" s="3"/>
      <c r="Q581" s="3"/>
      <c r="R581" s="3"/>
      <c r="S581" s="3"/>
      <c r="T581" s="3"/>
      <c r="U581" s="3"/>
      <c r="V581" s="5">
        <f t="shared" si="93"/>
        <v>89868</v>
      </c>
      <c r="W581" s="5"/>
      <c r="X581" s="16">
        <v>30793</v>
      </c>
      <c r="Y581" s="5"/>
      <c r="Z581" s="5"/>
      <c r="AA581" s="5"/>
      <c r="AB581" s="33"/>
      <c r="AC581" s="33"/>
      <c r="AD581" s="33"/>
      <c r="AE581" s="33"/>
    </row>
    <row r="582" spans="1:31" ht="24" x14ac:dyDescent="0.25">
      <c r="A582" s="3"/>
      <c r="B582" s="3"/>
      <c r="C582" s="3"/>
      <c r="D582" s="3"/>
      <c r="E582" s="3"/>
      <c r="F582" s="3" t="s">
        <v>716</v>
      </c>
      <c r="G582" s="5">
        <f>916+440</f>
        <v>1356</v>
      </c>
      <c r="H582" s="5">
        <v>0</v>
      </c>
      <c r="I582" s="5">
        <v>0</v>
      </c>
      <c r="J582" s="5">
        <v>0</v>
      </c>
      <c r="K582" s="5">
        <v>0</v>
      </c>
      <c r="L582" s="5"/>
      <c r="M582" s="5"/>
      <c r="N582" s="5">
        <f t="shared" si="100"/>
        <v>0</v>
      </c>
      <c r="O582" s="3"/>
      <c r="P582" s="3"/>
      <c r="Q582" s="3"/>
      <c r="R582" s="3"/>
      <c r="S582" s="3"/>
      <c r="T582" s="3"/>
      <c r="U582" s="3"/>
      <c r="V582" s="5">
        <f t="shared" si="93"/>
        <v>0</v>
      </c>
      <c r="W582" s="5"/>
      <c r="X582" s="16"/>
      <c r="Y582" s="5"/>
      <c r="Z582" s="5"/>
      <c r="AA582" s="5">
        <f t="shared" si="94"/>
        <v>0</v>
      </c>
      <c r="AB582" s="33"/>
      <c r="AC582" s="33"/>
      <c r="AD582" s="33"/>
      <c r="AE582" s="33"/>
    </row>
    <row r="583" spans="1:31" x14ac:dyDescent="0.25">
      <c r="A583" s="3"/>
      <c r="B583" s="3"/>
      <c r="C583" s="3"/>
      <c r="D583" s="3"/>
      <c r="E583" s="3"/>
      <c r="F583" s="3" t="s">
        <v>641</v>
      </c>
      <c r="G583" s="5">
        <f>1500</f>
        <v>1500</v>
      </c>
      <c r="H583" s="5">
        <v>0</v>
      </c>
      <c r="I583" s="5">
        <v>0</v>
      </c>
      <c r="J583" s="5">
        <v>0</v>
      </c>
      <c r="K583" s="5">
        <v>0</v>
      </c>
      <c r="L583" s="5"/>
      <c r="M583" s="5">
        <v>3364</v>
      </c>
      <c r="N583" s="5">
        <f t="shared" si="100"/>
        <v>3364</v>
      </c>
      <c r="O583" s="3"/>
      <c r="P583" s="3"/>
      <c r="Q583" s="3"/>
      <c r="R583" s="3"/>
      <c r="S583" s="3"/>
      <c r="T583" s="3"/>
      <c r="U583" s="3"/>
      <c r="V583" s="5">
        <f t="shared" si="93"/>
        <v>3364</v>
      </c>
      <c r="W583" s="5"/>
      <c r="X583" s="16">
        <v>0</v>
      </c>
      <c r="Y583" s="5"/>
      <c r="Z583" s="5"/>
      <c r="AA583" s="5">
        <f t="shared" si="94"/>
        <v>0</v>
      </c>
      <c r="AB583" s="33"/>
      <c r="AC583" s="33"/>
      <c r="AD583" s="33"/>
      <c r="AE583" s="33"/>
    </row>
    <row r="584" spans="1:31" x14ac:dyDescent="0.25">
      <c r="A584" s="3">
        <v>5</v>
      </c>
      <c r="B584" s="3">
        <v>1</v>
      </c>
      <c r="C584" s="3">
        <v>3</v>
      </c>
      <c r="D584" s="3">
        <v>6</v>
      </c>
      <c r="E584" s="3"/>
      <c r="F584" s="3" t="s">
        <v>314</v>
      </c>
      <c r="G584" s="21">
        <f t="shared" ref="G584:V584" si="101">G585</f>
        <v>12101</v>
      </c>
      <c r="H584" s="21">
        <f t="shared" si="101"/>
        <v>0</v>
      </c>
      <c r="I584" s="21">
        <f t="shared" si="101"/>
        <v>104</v>
      </c>
      <c r="J584" s="21">
        <f t="shared" si="101"/>
        <v>98772</v>
      </c>
      <c r="K584" s="21">
        <f t="shared" si="101"/>
        <v>0</v>
      </c>
      <c r="L584" s="21"/>
      <c r="M584" s="21"/>
      <c r="N584" s="21">
        <f t="shared" si="101"/>
        <v>172548</v>
      </c>
      <c r="O584" s="21">
        <f t="shared" si="101"/>
        <v>0</v>
      </c>
      <c r="P584" s="21">
        <f t="shared" si="101"/>
        <v>0</v>
      </c>
      <c r="Q584" s="21">
        <f t="shared" si="101"/>
        <v>0</v>
      </c>
      <c r="R584" s="21">
        <f t="shared" si="101"/>
        <v>0</v>
      </c>
      <c r="S584" s="21"/>
      <c r="T584" s="21"/>
      <c r="U584" s="21">
        <f t="shared" si="101"/>
        <v>0</v>
      </c>
      <c r="V584" s="21">
        <f t="shared" si="101"/>
        <v>172548</v>
      </c>
      <c r="W584" s="21"/>
      <c r="X584" s="21">
        <f t="shared" ref="X584" si="102">X585</f>
        <v>14254</v>
      </c>
      <c r="Y584" s="21"/>
      <c r="Z584" s="21"/>
      <c r="AA584" s="21">
        <f>AA585</f>
        <v>14254</v>
      </c>
      <c r="AB584" s="33"/>
      <c r="AC584" s="33"/>
      <c r="AD584" s="33"/>
      <c r="AE584" s="33"/>
    </row>
    <row r="585" spans="1:31" ht="36" x14ac:dyDescent="0.25">
      <c r="A585" s="3"/>
      <c r="B585" s="3"/>
      <c r="C585" s="3"/>
      <c r="D585" s="3"/>
      <c r="E585" s="3"/>
      <c r="F585" s="3" t="s">
        <v>642</v>
      </c>
      <c r="G585" s="116">
        <f>1197+1856+3480+5568+0</f>
        <v>12101</v>
      </c>
      <c r="H585" s="116">
        <v>0</v>
      </c>
      <c r="I585" s="116">
        <v>104</v>
      </c>
      <c r="J585" s="116">
        <v>98772</v>
      </c>
      <c r="K585" s="116">
        <v>0</v>
      </c>
      <c r="L585" s="116"/>
      <c r="M585" s="116">
        <v>73672</v>
      </c>
      <c r="N585" s="116">
        <f>SUM(H585:M585)</f>
        <v>172548</v>
      </c>
      <c r="O585" s="3"/>
      <c r="P585" s="3"/>
      <c r="Q585" s="3"/>
      <c r="R585" s="3"/>
      <c r="S585" s="3"/>
      <c r="T585" s="3"/>
      <c r="U585" s="3"/>
      <c r="V585" s="116">
        <f t="shared" si="93"/>
        <v>172548</v>
      </c>
      <c r="W585" s="5"/>
      <c r="X585" s="16">
        <v>14254</v>
      </c>
      <c r="Y585" s="5"/>
      <c r="Z585" s="5"/>
      <c r="AA585" s="5">
        <f t="shared" si="94"/>
        <v>14254</v>
      </c>
      <c r="AB585" s="33"/>
      <c r="AC585" s="33"/>
      <c r="AD585" s="33"/>
      <c r="AE585" s="33"/>
    </row>
    <row r="586" spans="1:31" x14ac:dyDescent="0.25">
      <c r="A586" s="3">
        <v>5</v>
      </c>
      <c r="B586" s="3">
        <v>1</v>
      </c>
      <c r="C586" s="3">
        <v>3</v>
      </c>
      <c r="D586" s="3">
        <v>7</v>
      </c>
      <c r="E586" s="3"/>
      <c r="F586" s="3" t="s">
        <v>315</v>
      </c>
      <c r="G586" s="21">
        <f>SUM(G587:G592)</f>
        <v>35266</v>
      </c>
      <c r="H586" s="21">
        <f>SUM(H587:H592)</f>
        <v>5051</v>
      </c>
      <c r="I586" s="21">
        <f>SUM(I587:I592)</f>
        <v>9259</v>
      </c>
      <c r="J586" s="21">
        <f>SUM(J587:J592)</f>
        <v>24257</v>
      </c>
      <c r="K586" s="21">
        <f>SUM(K587:K592)</f>
        <v>50781</v>
      </c>
      <c r="L586" s="21"/>
      <c r="M586" s="21"/>
      <c r="N586" s="21">
        <f>SUM(N587:N592)</f>
        <v>99026</v>
      </c>
      <c r="O586" s="21">
        <f>SUM(O587:O592)</f>
        <v>0</v>
      </c>
      <c r="P586" s="21">
        <f>SUM(P587:P592)</f>
        <v>0</v>
      </c>
      <c r="Q586" s="21">
        <f>SUM(Q587:Q592)</f>
        <v>0</v>
      </c>
      <c r="R586" s="21">
        <f>SUM(R587:R592)</f>
        <v>0</v>
      </c>
      <c r="S586" s="21"/>
      <c r="T586" s="21"/>
      <c r="U586" s="21">
        <f>SUM(U587:U592)</f>
        <v>0</v>
      </c>
      <c r="V586" s="21">
        <f>SUM(V587:V592)</f>
        <v>99026</v>
      </c>
      <c r="W586" s="21"/>
      <c r="X586" s="21">
        <f>SUM(X587:X592)</f>
        <v>213724</v>
      </c>
      <c r="Y586" s="21"/>
      <c r="Z586" s="21"/>
      <c r="AA586" s="21">
        <f>SUM(AA587:AA592)</f>
        <v>213724</v>
      </c>
      <c r="AB586" s="33"/>
      <c r="AC586" s="33"/>
      <c r="AD586" s="33"/>
      <c r="AE586" s="33"/>
    </row>
    <row r="587" spans="1:31" x14ac:dyDescent="0.25">
      <c r="A587" s="3"/>
      <c r="B587" s="3"/>
      <c r="C587" s="3"/>
      <c r="D587" s="3"/>
      <c r="E587" s="3"/>
      <c r="F587" s="3" t="s">
        <v>643</v>
      </c>
      <c r="G587" s="5">
        <f>0+0+5843+0+0+0</f>
        <v>5843</v>
      </c>
      <c r="H587" s="5">
        <v>0</v>
      </c>
      <c r="I587" s="5">
        <v>0</v>
      </c>
      <c r="J587" s="5">
        <v>0</v>
      </c>
      <c r="K587" s="5">
        <v>36858</v>
      </c>
      <c r="L587" s="5"/>
      <c r="M587" s="5"/>
      <c r="N587" s="5">
        <f>SUM(H587:M587)</f>
        <v>36858</v>
      </c>
      <c r="O587" s="3"/>
      <c r="P587" s="3"/>
      <c r="Q587" s="3"/>
      <c r="R587" s="3"/>
      <c r="S587" s="3"/>
      <c r="T587" s="3"/>
      <c r="U587" s="3"/>
      <c r="V587" s="5">
        <f t="shared" si="93"/>
        <v>36858</v>
      </c>
      <c r="W587" s="5"/>
      <c r="X587" s="16">
        <v>48996</v>
      </c>
      <c r="Y587" s="5"/>
      <c r="Z587" s="5"/>
      <c r="AA587" s="5">
        <f t="shared" si="94"/>
        <v>48996</v>
      </c>
      <c r="AB587" s="33"/>
      <c r="AC587" s="33"/>
      <c r="AD587" s="33"/>
      <c r="AE587" s="33"/>
    </row>
    <row r="588" spans="1:31" x14ac:dyDescent="0.25">
      <c r="A588" s="3"/>
      <c r="B588" s="3"/>
      <c r="C588" s="3"/>
      <c r="D588" s="3"/>
      <c r="E588" s="3"/>
      <c r="F588" s="3" t="s">
        <v>644</v>
      </c>
      <c r="G588" s="5">
        <f>0+0+1094+744+156+76+231+238+1+101+138+334+183</f>
        <v>3296</v>
      </c>
      <c r="H588" s="5">
        <v>795</v>
      </c>
      <c r="I588" s="5">
        <v>2973</v>
      </c>
      <c r="J588" s="5">
        <v>139</v>
      </c>
      <c r="K588" s="5">
        <v>202</v>
      </c>
      <c r="L588" s="5">
        <v>766</v>
      </c>
      <c r="M588" s="5">
        <f>863+359+163</f>
        <v>1385</v>
      </c>
      <c r="N588" s="5">
        <f t="shared" ref="N588:N592" si="103">SUM(H588:M588)</f>
        <v>6260</v>
      </c>
      <c r="O588" s="3"/>
      <c r="P588" s="3"/>
      <c r="Q588" s="3"/>
      <c r="R588" s="3"/>
      <c r="S588" s="3"/>
      <c r="T588" s="3"/>
      <c r="U588" s="3"/>
      <c r="V588" s="5">
        <f t="shared" si="93"/>
        <v>6260</v>
      </c>
      <c r="W588" s="5"/>
      <c r="X588" s="16">
        <v>5892</v>
      </c>
      <c r="Y588" s="5"/>
      <c r="Z588" s="5"/>
      <c r="AA588" s="5">
        <f t="shared" si="94"/>
        <v>5892</v>
      </c>
      <c r="AB588" s="33"/>
      <c r="AC588" s="33"/>
      <c r="AD588" s="33"/>
      <c r="AE588" s="33"/>
    </row>
    <row r="589" spans="1:31" x14ac:dyDescent="0.25">
      <c r="A589" s="3"/>
      <c r="B589" s="3"/>
      <c r="C589" s="3"/>
      <c r="D589" s="3"/>
      <c r="E589" s="3"/>
      <c r="F589" s="3" t="s">
        <v>645</v>
      </c>
      <c r="G589" s="5">
        <f>7094+572+568+7853+677+2630+874+478+1119+1394+1670+1198</f>
        <v>26127</v>
      </c>
      <c r="H589" s="5">
        <v>2321</v>
      </c>
      <c r="I589" s="5">
        <v>6286</v>
      </c>
      <c r="J589" s="5">
        <v>4066</v>
      </c>
      <c r="K589" s="5">
        <v>4190</v>
      </c>
      <c r="L589" s="5">
        <v>2036</v>
      </c>
      <c r="M589" s="5">
        <f>3909+732+850</f>
        <v>5491</v>
      </c>
      <c r="N589" s="5">
        <f t="shared" si="103"/>
        <v>24390</v>
      </c>
      <c r="O589" s="3"/>
      <c r="P589" s="3"/>
      <c r="Q589" s="3"/>
      <c r="R589" s="3"/>
      <c r="S589" s="3"/>
      <c r="T589" s="3"/>
      <c r="U589" s="3"/>
      <c r="V589" s="5">
        <f t="shared" si="93"/>
        <v>24390</v>
      </c>
      <c r="W589" s="5"/>
      <c r="X589" s="16">
        <v>158836</v>
      </c>
      <c r="Y589" s="5"/>
      <c r="Z589" s="5"/>
      <c r="AA589" s="5">
        <f t="shared" si="94"/>
        <v>158836</v>
      </c>
      <c r="AB589" s="33"/>
      <c r="AC589" s="33"/>
      <c r="AD589" s="33"/>
      <c r="AE589" s="33"/>
    </row>
    <row r="590" spans="1:31" x14ac:dyDescent="0.25">
      <c r="A590" s="3"/>
      <c r="B590" s="3"/>
      <c r="C590" s="3"/>
      <c r="D590" s="3"/>
      <c r="E590" s="3"/>
      <c r="F590" s="3" t="s">
        <v>646</v>
      </c>
      <c r="G590" s="5">
        <f>0+0+0</f>
        <v>0</v>
      </c>
      <c r="H590" s="5">
        <v>1935</v>
      </c>
      <c r="I590" s="5"/>
      <c r="J590" s="5">
        <v>20052</v>
      </c>
      <c r="K590" s="5">
        <v>9531</v>
      </c>
      <c r="L590" s="5"/>
      <c r="M590" s="5"/>
      <c r="N590" s="5">
        <f t="shared" si="103"/>
        <v>31518</v>
      </c>
      <c r="O590" s="3"/>
      <c r="P590" s="3"/>
      <c r="Q590" s="3"/>
      <c r="R590" s="3"/>
      <c r="S590" s="3"/>
      <c r="T590" s="3"/>
      <c r="U590" s="3"/>
      <c r="V590" s="5">
        <f t="shared" si="93"/>
        <v>31518</v>
      </c>
      <c r="W590" s="5"/>
      <c r="X590" s="16">
        <v>0</v>
      </c>
      <c r="Y590" s="5"/>
      <c r="Z590" s="5"/>
      <c r="AA590" s="5">
        <f t="shared" si="94"/>
        <v>0</v>
      </c>
      <c r="AB590" s="33"/>
      <c r="AC590" s="33"/>
      <c r="AD590" s="33"/>
      <c r="AE590" s="33"/>
    </row>
    <row r="591" spans="1:31" x14ac:dyDescent="0.25">
      <c r="A591" s="3"/>
      <c r="B591" s="3"/>
      <c r="C591" s="3"/>
      <c r="D591" s="3"/>
      <c r="E591" s="3"/>
      <c r="F591" s="3" t="s">
        <v>647</v>
      </c>
      <c r="G591" s="5"/>
      <c r="H591" s="5"/>
      <c r="I591" s="5"/>
      <c r="J591" s="5"/>
      <c r="K591" s="5"/>
      <c r="L591" s="5"/>
      <c r="M591" s="5"/>
      <c r="N591" s="5">
        <f t="shared" si="103"/>
        <v>0</v>
      </c>
      <c r="O591" s="3"/>
      <c r="P591" s="3"/>
      <c r="Q591" s="3"/>
      <c r="R591" s="3"/>
      <c r="S591" s="3"/>
      <c r="T591" s="3"/>
      <c r="U591" s="3"/>
      <c r="V591" s="5">
        <f t="shared" si="93"/>
        <v>0</v>
      </c>
      <c r="W591" s="5"/>
      <c r="X591" s="16">
        <v>0</v>
      </c>
      <c r="Y591" s="5"/>
      <c r="Z591" s="5"/>
      <c r="AA591" s="5">
        <f t="shared" si="94"/>
        <v>0</v>
      </c>
      <c r="AB591" s="33"/>
      <c r="AC591" s="33"/>
      <c r="AD591" s="33"/>
      <c r="AE591" s="33"/>
    </row>
    <row r="592" spans="1:31" x14ac:dyDescent="0.25">
      <c r="A592" s="3"/>
      <c r="B592" s="3"/>
      <c r="C592" s="3"/>
      <c r="D592" s="3"/>
      <c r="E592" s="3"/>
      <c r="F592" s="3" t="s">
        <v>648</v>
      </c>
      <c r="G592" s="5"/>
      <c r="H592" s="5"/>
      <c r="I592" s="5"/>
      <c r="J592" s="5"/>
      <c r="K592" s="5"/>
      <c r="L592" s="5"/>
      <c r="M592" s="5"/>
      <c r="N592" s="5">
        <f t="shared" si="103"/>
        <v>0</v>
      </c>
      <c r="O592" s="3"/>
      <c r="P592" s="3"/>
      <c r="Q592" s="3"/>
      <c r="R592" s="3"/>
      <c r="S592" s="3"/>
      <c r="T592" s="3"/>
      <c r="U592" s="3"/>
      <c r="V592" s="5">
        <f t="shared" si="93"/>
        <v>0</v>
      </c>
      <c r="W592" s="5"/>
      <c r="X592" s="16">
        <v>0</v>
      </c>
      <c r="Y592" s="5"/>
      <c r="Z592" s="5"/>
      <c r="AA592" s="5">
        <f t="shared" si="94"/>
        <v>0</v>
      </c>
      <c r="AB592" s="33"/>
      <c r="AC592" s="33"/>
      <c r="AD592" s="33"/>
      <c r="AE592" s="33"/>
    </row>
    <row r="593" spans="1:31" x14ac:dyDescent="0.25">
      <c r="A593" s="3">
        <v>5</v>
      </c>
      <c r="B593" s="3">
        <v>1</v>
      </c>
      <c r="C593" s="3">
        <v>3</v>
      </c>
      <c r="D593" s="3">
        <v>8</v>
      </c>
      <c r="E593" s="3"/>
      <c r="F593" s="3" t="s">
        <v>316</v>
      </c>
      <c r="G593" s="21">
        <f>SUM(G594:G598)</f>
        <v>8410</v>
      </c>
      <c r="H593" s="21">
        <f>SUM(H594:H598)</f>
        <v>10254</v>
      </c>
      <c r="I593" s="21">
        <f>SUM(I594:I598)</f>
        <v>13294</v>
      </c>
      <c r="J593" s="21">
        <f>SUM(J594:J598)</f>
        <v>0</v>
      </c>
      <c r="K593" s="21">
        <f>SUM(K594:K598)</f>
        <v>0</v>
      </c>
      <c r="L593" s="21"/>
      <c r="M593" s="21"/>
      <c r="N593" s="21">
        <f>SUM(N594:N598)</f>
        <v>43500</v>
      </c>
      <c r="O593" s="21">
        <f>SUM(O594:O598)</f>
        <v>0</v>
      </c>
      <c r="P593" s="21">
        <f>SUM(P594:P598)</f>
        <v>0</v>
      </c>
      <c r="Q593" s="21">
        <f>SUM(Q594:Q598)</f>
        <v>0</v>
      </c>
      <c r="R593" s="21">
        <f>SUM(R594:R598)</f>
        <v>0</v>
      </c>
      <c r="S593" s="21"/>
      <c r="T593" s="21"/>
      <c r="U593" s="21">
        <f>SUM(U594:U598)</f>
        <v>0</v>
      </c>
      <c r="V593" s="21">
        <f>SUM(V594:V598)</f>
        <v>43500</v>
      </c>
      <c r="W593" s="21"/>
      <c r="X593" s="21">
        <f>SUM(X594:X598)</f>
        <v>45220</v>
      </c>
      <c r="Y593" s="21"/>
      <c r="Z593" s="21"/>
      <c r="AA593" s="21">
        <f>SUM(AA594:AA598)</f>
        <v>45220</v>
      </c>
      <c r="AB593" s="33"/>
      <c r="AC593" s="33"/>
      <c r="AD593" s="33"/>
      <c r="AE593" s="33"/>
    </row>
    <row r="594" spans="1:31" x14ac:dyDescent="0.25">
      <c r="A594" s="3"/>
      <c r="B594" s="3"/>
      <c r="C594" s="3"/>
      <c r="D594" s="3"/>
      <c r="E594" s="3"/>
      <c r="F594" s="3" t="s">
        <v>649</v>
      </c>
      <c r="G594" s="5">
        <f>250+0+1160</f>
        <v>1410</v>
      </c>
      <c r="H594" s="5">
        <v>0</v>
      </c>
      <c r="I594" s="5">
        <v>13294</v>
      </c>
      <c r="J594" s="5">
        <v>0</v>
      </c>
      <c r="K594" s="5">
        <v>0</v>
      </c>
      <c r="L594" s="5"/>
      <c r="M594" s="5">
        <v>19952</v>
      </c>
      <c r="N594" s="5">
        <f>SUM(H594:M594)</f>
        <v>33246</v>
      </c>
      <c r="O594" s="3"/>
      <c r="P594" s="3"/>
      <c r="Q594" s="3"/>
      <c r="R594" s="3"/>
      <c r="S594" s="3"/>
      <c r="T594" s="3"/>
      <c r="U594" s="3"/>
      <c r="V594" s="5">
        <f t="shared" si="93"/>
        <v>33246</v>
      </c>
      <c r="W594" s="5"/>
      <c r="X594" s="16">
        <v>45220</v>
      </c>
      <c r="Y594" s="5"/>
      <c r="Z594" s="5"/>
      <c r="AA594" s="5">
        <f t="shared" si="94"/>
        <v>45220</v>
      </c>
      <c r="AB594" s="33"/>
      <c r="AC594" s="33"/>
      <c r="AD594" s="33"/>
      <c r="AE594" s="33"/>
    </row>
    <row r="595" spans="1:31" x14ac:dyDescent="0.25">
      <c r="A595" s="3"/>
      <c r="B595" s="3"/>
      <c r="C595" s="3"/>
      <c r="D595" s="3"/>
      <c r="E595" s="3"/>
      <c r="F595" s="3" t="s">
        <v>650</v>
      </c>
      <c r="G595" s="5"/>
      <c r="H595" s="5">
        <v>3254</v>
      </c>
      <c r="I595" s="5"/>
      <c r="J595" s="5"/>
      <c r="K595" s="5"/>
      <c r="L595" s="5"/>
      <c r="M595" s="5"/>
      <c r="N595" s="5">
        <f t="shared" ref="N595:N598" si="104">SUM(H595:M595)</f>
        <v>3254</v>
      </c>
      <c r="O595" s="3"/>
      <c r="P595" s="3"/>
      <c r="Q595" s="3"/>
      <c r="R595" s="3"/>
      <c r="S595" s="3"/>
      <c r="T595" s="3"/>
      <c r="U595" s="3"/>
      <c r="V595" s="5">
        <f t="shared" si="93"/>
        <v>3254</v>
      </c>
      <c r="W595" s="5"/>
      <c r="X595" s="16">
        <v>0</v>
      </c>
      <c r="Y595" s="5"/>
      <c r="Z595" s="5"/>
      <c r="AA595" s="5">
        <f t="shared" si="94"/>
        <v>0</v>
      </c>
      <c r="AB595" s="33"/>
      <c r="AC595" s="33"/>
      <c r="AD595" s="33"/>
      <c r="AE595" s="33"/>
    </row>
    <row r="596" spans="1:31" x14ac:dyDescent="0.25">
      <c r="A596" s="3"/>
      <c r="B596" s="3"/>
      <c r="C596" s="3"/>
      <c r="D596" s="3"/>
      <c r="E596" s="3"/>
      <c r="F596" s="3" t="s">
        <v>651</v>
      </c>
      <c r="G596" s="5">
        <f>0+7000+0</f>
        <v>7000</v>
      </c>
      <c r="H596" s="5">
        <v>0</v>
      </c>
      <c r="I596" s="5"/>
      <c r="J596" s="5"/>
      <c r="K596" s="5"/>
      <c r="L596" s="5"/>
      <c r="M596" s="5"/>
      <c r="N596" s="5">
        <f t="shared" si="104"/>
        <v>0</v>
      </c>
      <c r="O596" s="3"/>
      <c r="P596" s="3"/>
      <c r="Q596" s="3"/>
      <c r="R596" s="3"/>
      <c r="S596" s="3"/>
      <c r="T596" s="3"/>
      <c r="U596" s="3"/>
      <c r="V596" s="5">
        <f t="shared" si="93"/>
        <v>0</v>
      </c>
      <c r="W596" s="5"/>
      <c r="X596" s="16">
        <v>0</v>
      </c>
      <c r="Y596" s="5"/>
      <c r="Z596" s="5"/>
      <c r="AA596" s="5">
        <f t="shared" si="94"/>
        <v>0</v>
      </c>
      <c r="AB596" s="33"/>
      <c r="AC596" s="33"/>
      <c r="AD596" s="33"/>
      <c r="AE596" s="33"/>
    </row>
    <row r="597" spans="1:31" x14ac:dyDescent="0.25">
      <c r="A597" s="3"/>
      <c r="B597" s="3"/>
      <c r="C597" s="3"/>
      <c r="D597" s="3"/>
      <c r="E597" s="3"/>
      <c r="F597" s="3" t="s">
        <v>652</v>
      </c>
      <c r="G597" s="5"/>
      <c r="H597" s="5">
        <v>7000</v>
      </c>
      <c r="I597" s="5"/>
      <c r="J597" s="5"/>
      <c r="K597" s="5"/>
      <c r="L597" s="5"/>
      <c r="M597" s="5"/>
      <c r="N597" s="5">
        <f t="shared" si="104"/>
        <v>7000</v>
      </c>
      <c r="O597" s="3"/>
      <c r="P597" s="3"/>
      <c r="Q597" s="3"/>
      <c r="R597" s="3"/>
      <c r="S597" s="3"/>
      <c r="T597" s="3"/>
      <c r="U597" s="3"/>
      <c r="V597" s="5">
        <f t="shared" si="93"/>
        <v>7000</v>
      </c>
      <c r="W597" s="5"/>
      <c r="X597" s="16">
        <v>0</v>
      </c>
      <c r="Y597" s="5"/>
      <c r="Z597" s="5"/>
      <c r="AA597" s="5">
        <f t="shared" si="94"/>
        <v>0</v>
      </c>
      <c r="AB597" s="33"/>
      <c r="AC597" s="33"/>
      <c r="AD597" s="33"/>
      <c r="AE597" s="33"/>
    </row>
    <row r="598" spans="1:31" x14ac:dyDescent="0.25">
      <c r="A598" s="3"/>
      <c r="B598" s="3"/>
      <c r="C598" s="3"/>
      <c r="D598" s="3"/>
      <c r="E598" s="3"/>
      <c r="F598" s="3" t="s">
        <v>653</v>
      </c>
      <c r="G598" s="5"/>
      <c r="H598" s="5"/>
      <c r="I598" s="5"/>
      <c r="J598" s="5"/>
      <c r="K598" s="5"/>
      <c r="L598" s="5"/>
      <c r="M598" s="5"/>
      <c r="N598" s="5">
        <f t="shared" si="104"/>
        <v>0</v>
      </c>
      <c r="O598" s="3"/>
      <c r="P598" s="3"/>
      <c r="Q598" s="3"/>
      <c r="R598" s="3"/>
      <c r="S598" s="3"/>
      <c r="T598" s="3"/>
      <c r="U598" s="3"/>
      <c r="V598" s="5">
        <f t="shared" si="93"/>
        <v>0</v>
      </c>
      <c r="W598" s="5"/>
      <c r="X598" s="16">
        <v>0</v>
      </c>
      <c r="Y598" s="5"/>
      <c r="Z598" s="5"/>
      <c r="AA598" s="5">
        <f t="shared" si="94"/>
        <v>0</v>
      </c>
      <c r="AB598" s="33"/>
      <c r="AC598" s="33"/>
      <c r="AD598" s="33"/>
      <c r="AE598" s="33"/>
    </row>
    <row r="599" spans="1:31" x14ac:dyDescent="0.25">
      <c r="A599" s="3">
        <v>5</v>
      </c>
      <c r="B599" s="3">
        <v>1</v>
      </c>
      <c r="C599" s="3">
        <v>3</v>
      </c>
      <c r="D599" s="3">
        <v>9</v>
      </c>
      <c r="E599" s="3"/>
      <c r="F599" s="3" t="s">
        <v>317</v>
      </c>
      <c r="G599" s="21">
        <f>SUM(G600:G605)</f>
        <v>808676</v>
      </c>
      <c r="H599" s="21">
        <f>SUM(H600:H605)</f>
        <v>1883171</v>
      </c>
      <c r="I599" s="21">
        <f>SUM(I600:I605)</f>
        <v>20464</v>
      </c>
      <c r="J599" s="21">
        <f>SUM(J600:J605)</f>
        <v>16970</v>
      </c>
      <c r="K599" s="21">
        <f>SUM(K600:K605)</f>
        <v>383121</v>
      </c>
      <c r="L599" s="21"/>
      <c r="M599" s="21"/>
      <c r="N599" s="21">
        <f>SUM(N600:N605)</f>
        <v>2428445</v>
      </c>
      <c r="O599" s="21">
        <f>SUM(O600:O605)</f>
        <v>0</v>
      </c>
      <c r="P599" s="21">
        <f>SUM(P600:P605)</f>
        <v>0</v>
      </c>
      <c r="Q599" s="21">
        <f>SUM(Q600:Q605)</f>
        <v>0</v>
      </c>
      <c r="R599" s="21">
        <f>SUM(R600:R605)</f>
        <v>0</v>
      </c>
      <c r="S599" s="21"/>
      <c r="T599" s="21"/>
      <c r="U599" s="21">
        <f>SUM(U600:U605)</f>
        <v>0</v>
      </c>
      <c r="V599" s="21">
        <f>SUM(V600:V605)</f>
        <v>2428445</v>
      </c>
      <c r="W599" s="21"/>
      <c r="X599" s="21">
        <f>SUM(X600:X605)</f>
        <v>225741</v>
      </c>
      <c r="Y599" s="21"/>
      <c r="Z599" s="21"/>
      <c r="AA599" s="21">
        <f>SUM(AA600:AA605)</f>
        <v>225741</v>
      </c>
      <c r="AB599" s="33"/>
      <c r="AC599" s="33"/>
      <c r="AD599" s="33"/>
      <c r="AE599" s="33"/>
    </row>
    <row r="600" spans="1:31" x14ac:dyDescent="0.25">
      <c r="A600" s="3"/>
      <c r="B600" s="3"/>
      <c r="C600" s="3"/>
      <c r="D600" s="3"/>
      <c r="E600" s="3"/>
      <c r="F600" s="3" t="s">
        <v>654</v>
      </c>
      <c r="G600" s="5"/>
      <c r="H600" s="5"/>
      <c r="I600" s="5"/>
      <c r="J600" s="5"/>
      <c r="K600" s="5"/>
      <c r="L600" s="5"/>
      <c r="M600" s="5"/>
      <c r="N600" s="5">
        <f>SUM(H600:M600)</f>
        <v>0</v>
      </c>
      <c r="O600" s="3"/>
      <c r="P600" s="3"/>
      <c r="Q600" s="3"/>
      <c r="R600" s="3"/>
      <c r="S600" s="3"/>
      <c r="T600" s="3"/>
      <c r="U600" s="3"/>
      <c r="V600" s="5">
        <f t="shared" si="93"/>
        <v>0</v>
      </c>
      <c r="W600" s="5"/>
      <c r="X600" s="16">
        <v>0</v>
      </c>
      <c r="Y600" s="5"/>
      <c r="Z600" s="5"/>
      <c r="AA600" s="5">
        <f t="shared" si="94"/>
        <v>0</v>
      </c>
      <c r="AB600" s="33"/>
      <c r="AC600" s="33"/>
      <c r="AD600" s="33"/>
      <c r="AE600" s="33"/>
    </row>
    <row r="601" spans="1:31" x14ac:dyDescent="0.25">
      <c r="A601" s="3"/>
      <c r="B601" s="3"/>
      <c r="C601" s="3"/>
      <c r="D601" s="3"/>
      <c r="E601" s="3"/>
      <c r="F601" s="3" t="s">
        <v>1289</v>
      </c>
      <c r="G601" s="5"/>
      <c r="H601" s="5">
        <v>0</v>
      </c>
      <c r="I601" s="5">
        <v>3067</v>
      </c>
      <c r="J601" s="5">
        <v>624</v>
      </c>
      <c r="K601" s="5">
        <v>0</v>
      </c>
      <c r="L601" s="5"/>
      <c r="M601" s="5">
        <v>1095</v>
      </c>
      <c r="N601" s="5">
        <f t="shared" ref="N601:N605" si="105">SUM(H601:M601)</f>
        <v>4786</v>
      </c>
      <c r="O601" s="3"/>
      <c r="P601" s="3"/>
      <c r="Q601" s="3"/>
      <c r="R601" s="3"/>
      <c r="S601" s="3"/>
      <c r="T601" s="3"/>
      <c r="U601" s="3"/>
      <c r="V601" s="5">
        <f t="shared" si="93"/>
        <v>4786</v>
      </c>
      <c r="W601" s="5"/>
      <c r="X601" s="16"/>
      <c r="Y601" s="5"/>
      <c r="Z601" s="5"/>
      <c r="AA601" s="5"/>
      <c r="AB601" s="33"/>
      <c r="AC601" s="33"/>
      <c r="AD601" s="33"/>
      <c r="AE601" s="33"/>
    </row>
    <row r="602" spans="1:31" ht="24" x14ac:dyDescent="0.25">
      <c r="A602" s="3"/>
      <c r="B602" s="3"/>
      <c r="C602" s="3"/>
      <c r="D602" s="3"/>
      <c r="E602" s="3"/>
      <c r="F602" s="3" t="s">
        <v>826</v>
      </c>
      <c r="G602" s="5"/>
      <c r="H602" s="5">
        <v>1498311</v>
      </c>
      <c r="I602" s="5"/>
      <c r="J602" s="5"/>
      <c r="K602" s="5">
        <v>222826</v>
      </c>
      <c r="L602" s="5"/>
      <c r="M602" s="5"/>
      <c r="N602" s="5">
        <f t="shared" si="105"/>
        <v>1721137</v>
      </c>
      <c r="O602" s="3"/>
      <c r="P602" s="3"/>
      <c r="Q602" s="3"/>
      <c r="R602" s="3"/>
      <c r="S602" s="3"/>
      <c r="T602" s="3"/>
      <c r="U602" s="3"/>
      <c r="V602" s="5">
        <f>N602</f>
        <v>1721137</v>
      </c>
      <c r="W602" s="5"/>
      <c r="X602" s="16"/>
      <c r="Y602" s="5"/>
      <c r="Z602" s="5"/>
      <c r="AA602" s="5"/>
      <c r="AB602" s="33"/>
      <c r="AC602" s="33"/>
      <c r="AD602" s="33"/>
      <c r="AE602" s="33"/>
    </row>
    <row r="603" spans="1:31" x14ac:dyDescent="0.25">
      <c r="A603" s="3"/>
      <c r="B603" s="3"/>
      <c r="C603" s="3"/>
      <c r="D603" s="3"/>
      <c r="E603" s="3"/>
      <c r="F603" s="3" t="s">
        <v>827</v>
      </c>
      <c r="G603" s="5"/>
      <c r="H603" s="5">
        <v>316669</v>
      </c>
      <c r="I603" s="5"/>
      <c r="J603" s="5"/>
      <c r="K603" s="5">
        <v>120326</v>
      </c>
      <c r="L603" s="5"/>
      <c r="M603" s="5"/>
      <c r="N603" s="5">
        <f t="shared" si="105"/>
        <v>436995</v>
      </c>
      <c r="O603" s="3"/>
      <c r="P603" s="3"/>
      <c r="Q603" s="3"/>
      <c r="R603" s="3"/>
      <c r="S603" s="3"/>
      <c r="T603" s="3"/>
      <c r="U603" s="3"/>
      <c r="V603" s="5">
        <f>N603</f>
        <v>436995</v>
      </c>
      <c r="W603" s="5"/>
      <c r="X603" s="16"/>
      <c r="Y603" s="5"/>
      <c r="Z603" s="5"/>
      <c r="AA603" s="5"/>
      <c r="AB603" s="33"/>
      <c r="AC603" s="33"/>
      <c r="AD603" s="33"/>
      <c r="AE603" s="33"/>
    </row>
    <row r="604" spans="1:31" ht="24" x14ac:dyDescent="0.25">
      <c r="A604" s="3"/>
      <c r="B604" s="3"/>
      <c r="C604" s="3"/>
      <c r="D604" s="3"/>
      <c r="E604" s="3"/>
      <c r="F604" s="3" t="s">
        <v>655</v>
      </c>
      <c r="G604" s="5">
        <f>26274+15076+15156+14551+14643+14736+14736+14736+15388+15533+15533+17875</f>
        <v>194237</v>
      </c>
      <c r="H604" s="5">
        <v>61871</v>
      </c>
      <c r="I604" s="5">
        <v>17251</v>
      </c>
      <c r="J604" s="5">
        <v>16346</v>
      </c>
      <c r="K604" s="5">
        <v>19612</v>
      </c>
      <c r="L604" s="5">
        <v>49581</v>
      </c>
      <c r="M604" s="5">
        <f>16889+17199+20475</f>
        <v>54563</v>
      </c>
      <c r="N604" s="5">
        <f t="shared" si="105"/>
        <v>219224</v>
      </c>
      <c r="O604" s="3"/>
      <c r="P604" s="3"/>
      <c r="Q604" s="3"/>
      <c r="R604" s="3"/>
      <c r="S604" s="3"/>
      <c r="T604" s="3"/>
      <c r="U604" s="3"/>
      <c r="V604" s="5">
        <f t="shared" si="93"/>
        <v>219224</v>
      </c>
      <c r="W604" s="5"/>
      <c r="X604" s="16">
        <v>168304</v>
      </c>
      <c r="Y604" s="5"/>
      <c r="Z604" s="5"/>
      <c r="AA604" s="5">
        <f t="shared" si="94"/>
        <v>168304</v>
      </c>
      <c r="AB604" s="33"/>
      <c r="AC604" s="33"/>
      <c r="AD604" s="33"/>
      <c r="AE604" s="33"/>
    </row>
    <row r="605" spans="1:31" x14ac:dyDescent="0.25">
      <c r="A605" s="3"/>
      <c r="B605" s="3"/>
      <c r="C605" s="3"/>
      <c r="D605" s="3"/>
      <c r="E605" s="3"/>
      <c r="F605" s="3" t="s">
        <v>317</v>
      </c>
      <c r="G605" s="5">
        <f>4732+1394+2066+14218+351129+231251+3815+1+2277+891+2665</f>
        <v>614439</v>
      </c>
      <c r="H605" s="5">
        <v>6320</v>
      </c>
      <c r="I605" s="5">
        <v>146</v>
      </c>
      <c r="J605" s="5">
        <v>0</v>
      </c>
      <c r="K605" s="5">
        <v>20357</v>
      </c>
      <c r="L605" s="5">
        <v>11098</v>
      </c>
      <c r="M605" s="5">
        <f>3613+3084+1685</f>
        <v>8382</v>
      </c>
      <c r="N605" s="5">
        <f t="shared" si="105"/>
        <v>46303</v>
      </c>
      <c r="O605" s="3"/>
      <c r="P605" s="3"/>
      <c r="Q605" s="3"/>
      <c r="R605" s="3"/>
      <c r="S605" s="3"/>
      <c r="T605" s="3"/>
      <c r="U605" s="3"/>
      <c r="V605" s="5">
        <f t="shared" si="93"/>
        <v>46303</v>
      </c>
      <c r="W605" s="5"/>
      <c r="X605" s="16">
        <v>57437</v>
      </c>
      <c r="Y605" s="5"/>
      <c r="Z605" s="5"/>
      <c r="AA605" s="5">
        <f t="shared" si="94"/>
        <v>57437</v>
      </c>
      <c r="AB605" s="33"/>
      <c r="AC605" s="33"/>
      <c r="AD605" s="33"/>
      <c r="AE605" s="33"/>
    </row>
    <row r="606" spans="1:31" ht="24" hidden="1" x14ac:dyDescent="0.25">
      <c r="A606" s="2">
        <v>5</v>
      </c>
      <c r="B606" s="2">
        <v>2</v>
      </c>
      <c r="C606" s="2"/>
      <c r="D606" s="2"/>
      <c r="E606" s="2"/>
      <c r="F606" s="2" t="s">
        <v>318</v>
      </c>
      <c r="G606" s="2"/>
      <c r="H606" s="5"/>
      <c r="I606" s="5"/>
      <c r="J606" s="5"/>
      <c r="K606" s="5"/>
      <c r="L606" s="5"/>
      <c r="M606" s="5"/>
      <c r="N606" s="5"/>
      <c r="O606" s="2"/>
      <c r="P606" s="2"/>
      <c r="Q606" s="2"/>
      <c r="R606" s="2"/>
      <c r="S606" s="2"/>
      <c r="T606" s="2"/>
      <c r="U606" s="2"/>
      <c r="V606" s="5"/>
      <c r="W606" s="5"/>
      <c r="X606" s="2"/>
      <c r="Y606" s="5"/>
      <c r="Z606" s="5"/>
      <c r="AA606" s="5"/>
      <c r="AB606" s="33"/>
      <c r="AC606" s="33"/>
      <c r="AD606" s="33"/>
      <c r="AE606" s="33"/>
    </row>
    <row r="607" spans="1:31" ht="24" hidden="1" x14ac:dyDescent="0.25">
      <c r="A607" s="3">
        <v>5</v>
      </c>
      <c r="B607" s="3">
        <v>2</v>
      </c>
      <c r="C607" s="3">
        <v>1</v>
      </c>
      <c r="D607" s="3"/>
      <c r="E607" s="3"/>
      <c r="F607" s="4" t="s">
        <v>19</v>
      </c>
      <c r="G607" s="4"/>
      <c r="H607" s="5"/>
      <c r="I607" s="5"/>
      <c r="J607" s="5"/>
      <c r="K607" s="5"/>
      <c r="L607" s="5"/>
      <c r="M607" s="5"/>
      <c r="N607" s="5"/>
      <c r="O607" s="4"/>
      <c r="P607" s="4"/>
      <c r="Q607" s="4"/>
      <c r="R607" s="4"/>
      <c r="S607" s="4"/>
      <c r="T607" s="4"/>
      <c r="U607" s="4"/>
      <c r="V607" s="5"/>
      <c r="W607" s="5"/>
      <c r="X607" s="4"/>
      <c r="Y607" s="5"/>
      <c r="Z607" s="5"/>
      <c r="AA607" s="5"/>
      <c r="AB607" s="33"/>
      <c r="AC607" s="33"/>
      <c r="AD607" s="33"/>
      <c r="AE607" s="33"/>
    </row>
    <row r="608" spans="1:31" hidden="1" x14ac:dyDescent="0.25">
      <c r="A608" s="3">
        <v>5</v>
      </c>
      <c r="B608" s="3">
        <v>2</v>
      </c>
      <c r="C608" s="3">
        <v>1</v>
      </c>
      <c r="D608" s="3">
        <v>1</v>
      </c>
      <c r="E608" s="3"/>
      <c r="F608" s="3" t="s">
        <v>319</v>
      </c>
      <c r="G608" s="3"/>
      <c r="H608" s="5"/>
      <c r="I608" s="5"/>
      <c r="J608" s="5"/>
      <c r="K608" s="5"/>
      <c r="L608" s="5"/>
      <c r="M608" s="5"/>
      <c r="N608" s="5"/>
      <c r="O608" s="3"/>
      <c r="P608" s="3"/>
      <c r="Q608" s="3"/>
      <c r="R608" s="3"/>
      <c r="S608" s="3"/>
      <c r="T608" s="3"/>
      <c r="U608" s="3"/>
      <c r="V608" s="5"/>
      <c r="W608" s="5"/>
      <c r="X608" s="3"/>
      <c r="Y608" s="5"/>
      <c r="Z608" s="5"/>
      <c r="AA608" s="5"/>
      <c r="AB608" s="33"/>
      <c r="AC608" s="33"/>
      <c r="AD608" s="33"/>
      <c r="AE608" s="33"/>
    </row>
    <row r="609" spans="1:31" hidden="1" x14ac:dyDescent="0.25">
      <c r="A609" s="3">
        <v>5</v>
      </c>
      <c r="B609" s="3">
        <v>2</v>
      </c>
      <c r="C609" s="3">
        <v>1</v>
      </c>
      <c r="D609" s="3">
        <v>2</v>
      </c>
      <c r="E609" s="3"/>
      <c r="F609" s="3" t="s">
        <v>320</v>
      </c>
      <c r="G609" s="3"/>
      <c r="H609" s="5"/>
      <c r="I609" s="5"/>
      <c r="J609" s="5"/>
      <c r="K609" s="5"/>
      <c r="L609" s="5"/>
      <c r="M609" s="5"/>
      <c r="N609" s="5"/>
      <c r="O609" s="3"/>
      <c r="P609" s="3"/>
      <c r="Q609" s="3"/>
      <c r="R609" s="3"/>
      <c r="S609" s="3"/>
      <c r="T609" s="3"/>
      <c r="U609" s="3"/>
      <c r="V609" s="5"/>
      <c r="W609" s="5"/>
      <c r="X609" s="3"/>
      <c r="Y609" s="5"/>
      <c r="Z609" s="5"/>
      <c r="AA609" s="5"/>
      <c r="AB609" s="33"/>
      <c r="AC609" s="33"/>
      <c r="AD609" s="33"/>
      <c r="AE609" s="33"/>
    </row>
    <row r="610" spans="1:31" hidden="1" x14ac:dyDescent="0.25">
      <c r="A610" s="3">
        <v>5</v>
      </c>
      <c r="B610" s="3">
        <v>2</v>
      </c>
      <c r="C610" s="3">
        <v>2</v>
      </c>
      <c r="D610" s="3"/>
      <c r="E610" s="3"/>
      <c r="F610" s="4" t="s">
        <v>20</v>
      </c>
      <c r="G610" s="4"/>
      <c r="H610" s="5"/>
      <c r="I610" s="5"/>
      <c r="J610" s="5"/>
      <c r="K610" s="5"/>
      <c r="L610" s="5"/>
      <c r="M610" s="5"/>
      <c r="N610" s="5"/>
      <c r="O610" s="4"/>
      <c r="P610" s="4"/>
      <c r="Q610" s="4"/>
      <c r="R610" s="4"/>
      <c r="S610" s="4"/>
      <c r="T610" s="4"/>
      <c r="U610" s="4"/>
      <c r="V610" s="5"/>
      <c r="W610" s="5"/>
      <c r="X610" s="4"/>
      <c r="Y610" s="5"/>
      <c r="Z610" s="5"/>
      <c r="AA610" s="5"/>
      <c r="AB610" s="33"/>
      <c r="AC610" s="33"/>
      <c r="AD610" s="33"/>
      <c r="AE610" s="33"/>
    </row>
    <row r="611" spans="1:31" hidden="1" x14ac:dyDescent="0.25">
      <c r="A611" s="3">
        <v>5</v>
      </c>
      <c r="B611" s="3">
        <v>2</v>
      </c>
      <c r="C611" s="3">
        <v>2</v>
      </c>
      <c r="D611" s="3">
        <v>1</v>
      </c>
      <c r="E611" s="3"/>
      <c r="F611" s="3" t="s">
        <v>321</v>
      </c>
      <c r="G611" s="3"/>
      <c r="H611" s="5"/>
      <c r="I611" s="5"/>
      <c r="J611" s="5"/>
      <c r="K611" s="5"/>
      <c r="L611" s="5"/>
      <c r="M611" s="5"/>
      <c r="N611" s="5"/>
      <c r="O611" s="3"/>
      <c r="P611" s="3"/>
      <c r="Q611" s="3"/>
      <c r="R611" s="3"/>
      <c r="S611" s="3"/>
      <c r="T611" s="3"/>
      <c r="U611" s="3"/>
      <c r="V611" s="5"/>
      <c r="W611" s="5"/>
      <c r="X611" s="3"/>
      <c r="Y611" s="5"/>
      <c r="Z611" s="5"/>
      <c r="AA611" s="5"/>
      <c r="AB611" s="33"/>
      <c r="AC611" s="33"/>
      <c r="AD611" s="33"/>
      <c r="AE611" s="33"/>
    </row>
    <row r="612" spans="1:31" hidden="1" x14ac:dyDescent="0.25">
      <c r="A612" s="3">
        <v>5</v>
      </c>
      <c r="B612" s="3">
        <v>2</v>
      </c>
      <c r="C612" s="3">
        <v>2</v>
      </c>
      <c r="D612" s="3">
        <v>2</v>
      </c>
      <c r="E612" s="3"/>
      <c r="F612" s="3" t="s">
        <v>322</v>
      </c>
      <c r="G612" s="3"/>
      <c r="H612" s="5"/>
      <c r="I612" s="5"/>
      <c r="J612" s="5"/>
      <c r="K612" s="5"/>
      <c r="L612" s="5"/>
      <c r="M612" s="5"/>
      <c r="N612" s="5"/>
      <c r="O612" s="3"/>
      <c r="P612" s="3"/>
      <c r="Q612" s="3"/>
      <c r="R612" s="3"/>
      <c r="S612" s="3"/>
      <c r="T612" s="3"/>
      <c r="U612" s="3"/>
      <c r="V612" s="5"/>
      <c r="W612" s="5"/>
      <c r="X612" s="3"/>
      <c r="Y612" s="5"/>
      <c r="Z612" s="5"/>
      <c r="AA612" s="5"/>
      <c r="AB612" s="33"/>
      <c r="AC612" s="33"/>
      <c r="AD612" s="33"/>
      <c r="AE612" s="33"/>
    </row>
    <row r="613" spans="1:31" hidden="1" x14ac:dyDescent="0.25">
      <c r="A613" s="3">
        <v>5</v>
      </c>
      <c r="B613" s="3">
        <v>2</v>
      </c>
      <c r="C613" s="3">
        <v>3</v>
      </c>
      <c r="D613" s="3"/>
      <c r="E613" s="3"/>
      <c r="F613" s="4" t="s">
        <v>21</v>
      </c>
      <c r="G613" s="4"/>
      <c r="H613" s="5"/>
      <c r="I613" s="5"/>
      <c r="J613" s="5"/>
      <c r="K613" s="5"/>
      <c r="L613" s="5"/>
      <c r="M613" s="5"/>
      <c r="N613" s="5"/>
      <c r="O613" s="4"/>
      <c r="P613" s="4"/>
      <c r="Q613" s="4"/>
      <c r="R613" s="4"/>
      <c r="S613" s="4"/>
      <c r="T613" s="4"/>
      <c r="U613" s="4"/>
      <c r="V613" s="5"/>
      <c r="W613" s="5"/>
      <c r="X613" s="4"/>
      <c r="Y613" s="5"/>
      <c r="Z613" s="5"/>
      <c r="AA613" s="5"/>
      <c r="AB613" s="33"/>
      <c r="AC613" s="33"/>
      <c r="AD613" s="33"/>
      <c r="AE613" s="33"/>
    </row>
    <row r="614" spans="1:31" hidden="1" x14ac:dyDescent="0.25">
      <c r="A614" s="3">
        <v>5</v>
      </c>
      <c r="B614" s="3">
        <v>2</v>
      </c>
      <c r="C614" s="3">
        <v>3</v>
      </c>
      <c r="D614" s="3">
        <v>1</v>
      </c>
      <c r="E614" s="3"/>
      <c r="F614" s="3" t="s">
        <v>323</v>
      </c>
      <c r="G614" s="3"/>
      <c r="H614" s="5"/>
      <c r="I614" s="5"/>
      <c r="J614" s="5"/>
      <c r="K614" s="5"/>
      <c r="L614" s="5"/>
      <c r="M614" s="5"/>
      <c r="N614" s="5"/>
      <c r="O614" s="3"/>
      <c r="P614" s="3"/>
      <c r="Q614" s="3"/>
      <c r="R614" s="3"/>
      <c r="S614" s="3"/>
      <c r="T614" s="3"/>
      <c r="U614" s="3"/>
      <c r="V614" s="5"/>
      <c r="W614" s="5"/>
      <c r="X614" s="3"/>
      <c r="Y614" s="5"/>
      <c r="Z614" s="5"/>
      <c r="AA614" s="5"/>
      <c r="AB614" s="33"/>
      <c r="AC614" s="33"/>
      <c r="AD614" s="33"/>
      <c r="AE614" s="33"/>
    </row>
    <row r="615" spans="1:31" hidden="1" x14ac:dyDescent="0.25">
      <c r="A615" s="3">
        <v>5</v>
      </c>
      <c r="B615" s="3">
        <v>2</v>
      </c>
      <c r="C615" s="3">
        <v>3</v>
      </c>
      <c r="D615" s="3">
        <v>2</v>
      </c>
      <c r="E615" s="3"/>
      <c r="F615" s="3" t="s">
        <v>324</v>
      </c>
      <c r="G615" s="3"/>
      <c r="H615" s="5"/>
      <c r="I615" s="5"/>
      <c r="J615" s="5"/>
      <c r="K615" s="5"/>
      <c r="L615" s="5"/>
      <c r="M615" s="5"/>
      <c r="N615" s="5"/>
      <c r="O615" s="3"/>
      <c r="P615" s="3"/>
      <c r="Q615" s="3"/>
      <c r="R615" s="3"/>
      <c r="S615" s="3"/>
      <c r="T615" s="3"/>
      <c r="U615" s="3"/>
      <c r="V615" s="5"/>
      <c r="W615" s="5"/>
      <c r="X615" s="3"/>
      <c r="Y615" s="5"/>
      <c r="Z615" s="5"/>
      <c r="AA615" s="5"/>
      <c r="AB615" s="33"/>
      <c r="AC615" s="33"/>
      <c r="AD615" s="33"/>
      <c r="AE615" s="33"/>
    </row>
    <row r="616" spans="1:31" hidden="1" x14ac:dyDescent="0.25">
      <c r="A616" s="3">
        <v>5</v>
      </c>
      <c r="B616" s="3">
        <v>2</v>
      </c>
      <c r="C616" s="3">
        <v>4</v>
      </c>
      <c r="D616" s="3"/>
      <c r="E616" s="3"/>
      <c r="F616" s="4" t="s">
        <v>22</v>
      </c>
      <c r="G616" s="4"/>
      <c r="H616" s="5"/>
      <c r="I616" s="5"/>
      <c r="J616" s="5"/>
      <c r="K616" s="5"/>
      <c r="L616" s="5"/>
      <c r="M616" s="5"/>
      <c r="N616" s="5"/>
      <c r="O616" s="4"/>
      <c r="P616" s="4"/>
      <c r="Q616" s="4"/>
      <c r="R616" s="4"/>
      <c r="S616" s="4"/>
      <c r="T616" s="4"/>
      <c r="U616" s="4"/>
      <c r="V616" s="5"/>
      <c r="W616" s="5"/>
      <c r="X616" s="4"/>
      <c r="Y616" s="5"/>
      <c r="Z616" s="5"/>
      <c r="AA616" s="5"/>
      <c r="AB616" s="33"/>
      <c r="AC616" s="33"/>
      <c r="AD616" s="33"/>
      <c r="AE616" s="33"/>
    </row>
    <row r="617" spans="1:31" hidden="1" x14ac:dyDescent="0.25">
      <c r="A617" s="3">
        <v>5</v>
      </c>
      <c r="B617" s="3">
        <v>2</v>
      </c>
      <c r="C617" s="3">
        <v>4</v>
      </c>
      <c r="D617" s="3">
        <v>1</v>
      </c>
      <c r="E617" s="3"/>
      <c r="F617" s="3" t="s">
        <v>325</v>
      </c>
      <c r="G617" s="3"/>
      <c r="H617" s="5"/>
      <c r="I617" s="5"/>
      <c r="J617" s="5"/>
      <c r="K617" s="5"/>
      <c r="L617" s="5"/>
      <c r="M617" s="5"/>
      <c r="N617" s="5"/>
      <c r="O617" s="3"/>
      <c r="P617" s="3"/>
      <c r="Q617" s="3"/>
      <c r="R617" s="3"/>
      <c r="S617" s="3"/>
      <c r="T617" s="3"/>
      <c r="U617" s="3"/>
      <c r="V617" s="5"/>
      <c r="W617" s="5"/>
      <c r="X617" s="3"/>
      <c r="Y617" s="5"/>
      <c r="Z617" s="5"/>
      <c r="AA617" s="5"/>
      <c r="AB617" s="33"/>
      <c r="AC617" s="33"/>
      <c r="AD617" s="33"/>
      <c r="AE617" s="33"/>
    </row>
    <row r="618" spans="1:31" hidden="1" x14ac:dyDescent="0.25">
      <c r="A618" s="3">
        <v>5</v>
      </c>
      <c r="B618" s="3">
        <v>2</v>
      </c>
      <c r="C618" s="3">
        <v>4</v>
      </c>
      <c r="D618" s="3">
        <v>2</v>
      </c>
      <c r="E618" s="3"/>
      <c r="F618" s="3" t="s">
        <v>326</v>
      </c>
      <c r="G618" s="3"/>
      <c r="H618" s="5"/>
      <c r="I618" s="5"/>
      <c r="J618" s="5"/>
      <c r="K618" s="5"/>
      <c r="L618" s="5"/>
      <c r="M618" s="5"/>
      <c r="N618" s="5"/>
      <c r="O618" s="3"/>
      <c r="P618" s="3"/>
      <c r="Q618" s="3"/>
      <c r="R618" s="3"/>
      <c r="S618" s="3"/>
      <c r="T618" s="3"/>
      <c r="U618" s="3"/>
      <c r="V618" s="5"/>
      <c r="W618" s="5"/>
      <c r="X618" s="3"/>
      <c r="Y618" s="5"/>
      <c r="Z618" s="5"/>
      <c r="AA618" s="5"/>
      <c r="AB618" s="33"/>
      <c r="AC618" s="33"/>
      <c r="AD618" s="33"/>
      <c r="AE618" s="33"/>
    </row>
    <row r="619" spans="1:31" hidden="1" x14ac:dyDescent="0.25">
      <c r="A619" s="3">
        <v>5</v>
      </c>
      <c r="B619" s="3">
        <v>2</v>
      </c>
      <c r="C619" s="3">
        <v>4</v>
      </c>
      <c r="D619" s="3">
        <v>3</v>
      </c>
      <c r="E619" s="3"/>
      <c r="F619" s="3" t="s">
        <v>327</v>
      </c>
      <c r="G619" s="3"/>
      <c r="H619" s="5"/>
      <c r="I619" s="5"/>
      <c r="J619" s="5"/>
      <c r="K619" s="5"/>
      <c r="L619" s="5"/>
      <c r="M619" s="5"/>
      <c r="N619" s="5"/>
      <c r="O619" s="3"/>
      <c r="P619" s="3"/>
      <c r="Q619" s="3"/>
      <c r="R619" s="3"/>
      <c r="S619" s="3"/>
      <c r="T619" s="3"/>
      <c r="U619" s="3"/>
      <c r="V619" s="5"/>
      <c r="W619" s="5"/>
      <c r="X619" s="3"/>
      <c r="Y619" s="5"/>
      <c r="Z619" s="5"/>
      <c r="AA619" s="5"/>
      <c r="AB619" s="33"/>
      <c r="AC619" s="33"/>
      <c r="AD619" s="33"/>
      <c r="AE619" s="33"/>
    </row>
    <row r="620" spans="1:31" ht="24" hidden="1" x14ac:dyDescent="0.25">
      <c r="A620" s="3">
        <v>5</v>
      </c>
      <c r="B620" s="3">
        <v>2</v>
      </c>
      <c r="C620" s="3">
        <v>4</v>
      </c>
      <c r="D620" s="3">
        <v>4</v>
      </c>
      <c r="E620" s="3"/>
      <c r="F620" s="3" t="s">
        <v>328</v>
      </c>
      <c r="G620" s="3"/>
      <c r="H620" s="5"/>
      <c r="I620" s="5"/>
      <c r="J620" s="5"/>
      <c r="K620" s="5"/>
      <c r="L620" s="5"/>
      <c r="M620" s="5"/>
      <c r="N620" s="5"/>
      <c r="O620" s="3"/>
      <c r="P620" s="3"/>
      <c r="Q620" s="3"/>
      <c r="R620" s="3"/>
      <c r="S620" s="3"/>
      <c r="T620" s="3"/>
      <c r="U620" s="3"/>
      <c r="V620" s="5"/>
      <c r="W620" s="5"/>
      <c r="X620" s="3"/>
      <c r="Y620" s="5"/>
      <c r="Z620" s="5"/>
      <c r="AA620" s="5"/>
      <c r="AB620" s="33"/>
      <c r="AC620" s="33"/>
      <c r="AD620" s="33"/>
      <c r="AE620" s="33"/>
    </row>
    <row r="621" spans="1:31" hidden="1" x14ac:dyDescent="0.25">
      <c r="A621" s="3">
        <v>5</v>
      </c>
      <c r="B621" s="3">
        <v>2</v>
      </c>
      <c r="C621" s="3">
        <v>5</v>
      </c>
      <c r="D621" s="3"/>
      <c r="E621" s="3"/>
      <c r="F621" s="4" t="s">
        <v>23</v>
      </c>
      <c r="G621" s="4"/>
      <c r="H621" s="5"/>
      <c r="I621" s="5"/>
      <c r="J621" s="5"/>
      <c r="K621" s="5"/>
      <c r="L621" s="5"/>
      <c r="M621" s="5"/>
      <c r="N621" s="5"/>
      <c r="O621" s="4"/>
      <c r="P621" s="4"/>
      <c r="Q621" s="4"/>
      <c r="R621" s="4"/>
      <c r="S621" s="4"/>
      <c r="T621" s="4"/>
      <c r="U621" s="4"/>
      <c r="V621" s="5"/>
      <c r="W621" s="5"/>
      <c r="X621" s="4"/>
      <c r="Y621" s="5"/>
      <c r="Z621" s="5"/>
      <c r="AA621" s="5"/>
      <c r="AB621" s="33"/>
      <c r="AC621" s="33"/>
      <c r="AD621" s="33"/>
      <c r="AE621" s="33"/>
    </row>
    <row r="622" spans="1:31" hidden="1" x14ac:dyDescent="0.25">
      <c r="A622" s="3">
        <v>5</v>
      </c>
      <c r="B622" s="3">
        <v>2</v>
      </c>
      <c r="C622" s="3">
        <v>5</v>
      </c>
      <c r="D622" s="3">
        <v>1</v>
      </c>
      <c r="E622" s="3"/>
      <c r="F622" s="3" t="s">
        <v>329</v>
      </c>
      <c r="G622" s="3"/>
      <c r="H622" s="5"/>
      <c r="I622" s="5"/>
      <c r="J622" s="5"/>
      <c r="K622" s="5"/>
      <c r="L622" s="5"/>
      <c r="M622" s="5"/>
      <c r="N622" s="5"/>
      <c r="O622" s="3"/>
      <c r="P622" s="3"/>
      <c r="Q622" s="3"/>
      <c r="R622" s="3"/>
      <c r="S622" s="3"/>
      <c r="T622" s="3"/>
      <c r="U622" s="3"/>
      <c r="V622" s="5"/>
      <c r="W622" s="5"/>
      <c r="X622" s="3"/>
      <c r="Y622" s="5"/>
      <c r="Z622" s="5"/>
      <c r="AA622" s="5"/>
      <c r="AB622" s="33"/>
      <c r="AC622" s="33"/>
      <c r="AD622" s="33"/>
      <c r="AE622" s="33"/>
    </row>
    <row r="623" spans="1:31" hidden="1" x14ac:dyDescent="0.25">
      <c r="A623" s="3">
        <v>5</v>
      </c>
      <c r="B623" s="3">
        <v>2</v>
      </c>
      <c r="C623" s="3">
        <v>5</v>
      </c>
      <c r="D623" s="3">
        <v>2</v>
      </c>
      <c r="E623" s="3"/>
      <c r="F623" s="3" t="s">
        <v>330</v>
      </c>
      <c r="G623" s="3"/>
      <c r="H623" s="5"/>
      <c r="I623" s="5"/>
      <c r="J623" s="5"/>
      <c r="K623" s="5"/>
      <c r="L623" s="5"/>
      <c r="M623" s="5"/>
      <c r="N623" s="5"/>
      <c r="O623" s="3"/>
      <c r="P623" s="3"/>
      <c r="Q623" s="3"/>
      <c r="R623" s="3"/>
      <c r="S623" s="3"/>
      <c r="T623" s="3"/>
      <c r="U623" s="3"/>
      <c r="V623" s="5"/>
      <c r="W623" s="5"/>
      <c r="X623" s="3"/>
      <c r="Y623" s="5"/>
      <c r="Z623" s="5"/>
      <c r="AA623" s="5"/>
      <c r="AB623" s="33"/>
      <c r="AC623" s="33"/>
      <c r="AD623" s="33"/>
      <c r="AE623" s="33"/>
    </row>
    <row r="624" spans="1:31" hidden="1" x14ac:dyDescent="0.25">
      <c r="A624" s="3">
        <v>5</v>
      </c>
      <c r="B624" s="3">
        <v>2</v>
      </c>
      <c r="C624" s="3">
        <v>5</v>
      </c>
      <c r="D624" s="3">
        <v>9</v>
      </c>
      <c r="E624" s="3"/>
      <c r="F624" s="3" t="s">
        <v>331</v>
      </c>
      <c r="G624" s="3"/>
      <c r="H624" s="5"/>
      <c r="I624" s="5"/>
      <c r="J624" s="5"/>
      <c r="K624" s="5"/>
      <c r="L624" s="5"/>
      <c r="M624" s="5"/>
      <c r="N624" s="5"/>
      <c r="O624" s="3"/>
      <c r="P624" s="3"/>
      <c r="Q624" s="3"/>
      <c r="R624" s="3"/>
      <c r="S624" s="3"/>
      <c r="T624" s="3"/>
      <c r="U624" s="3"/>
      <c r="V624" s="5"/>
      <c r="W624" s="5"/>
      <c r="X624" s="3"/>
      <c r="Y624" s="5"/>
      <c r="Z624" s="5"/>
      <c r="AA624" s="5"/>
      <c r="AB624" s="33"/>
      <c r="AC624" s="33"/>
      <c r="AD624" s="33"/>
      <c r="AE624" s="33"/>
    </row>
    <row r="625" spans="1:31" ht="24" hidden="1" x14ac:dyDescent="0.25">
      <c r="A625" s="3">
        <v>5</v>
      </c>
      <c r="B625" s="3">
        <v>2</v>
      </c>
      <c r="C625" s="3">
        <v>6</v>
      </c>
      <c r="D625" s="3"/>
      <c r="E625" s="3"/>
      <c r="F625" s="4" t="s">
        <v>24</v>
      </c>
      <c r="G625" s="4"/>
      <c r="H625" s="5"/>
      <c r="I625" s="5"/>
      <c r="J625" s="5"/>
      <c r="K625" s="5"/>
      <c r="L625" s="5"/>
      <c r="M625" s="5"/>
      <c r="N625" s="5"/>
      <c r="O625" s="4"/>
      <c r="P625" s="4"/>
      <c r="Q625" s="4"/>
      <c r="R625" s="4"/>
      <c r="S625" s="4"/>
      <c r="T625" s="4"/>
      <c r="U625" s="4"/>
      <c r="V625" s="5"/>
      <c r="W625" s="5"/>
      <c r="X625" s="4"/>
      <c r="Y625" s="5"/>
      <c r="Z625" s="5"/>
      <c r="AA625" s="5"/>
      <c r="AB625" s="33"/>
      <c r="AC625" s="33"/>
      <c r="AD625" s="33"/>
      <c r="AE625" s="33"/>
    </row>
    <row r="626" spans="1:31" ht="24" hidden="1" x14ac:dyDescent="0.25">
      <c r="A626" s="3">
        <v>5</v>
      </c>
      <c r="B626" s="3">
        <v>2</v>
      </c>
      <c r="C626" s="3">
        <v>6</v>
      </c>
      <c r="D626" s="3">
        <v>1</v>
      </c>
      <c r="E626" s="3"/>
      <c r="F626" s="3" t="s">
        <v>332</v>
      </c>
      <c r="G626" s="3"/>
      <c r="H626" s="5"/>
      <c r="I626" s="5"/>
      <c r="J626" s="5"/>
      <c r="K626" s="5"/>
      <c r="L626" s="5"/>
      <c r="M626" s="5"/>
      <c r="N626" s="5"/>
      <c r="O626" s="3"/>
      <c r="P626" s="3"/>
      <c r="Q626" s="3"/>
      <c r="R626" s="3"/>
      <c r="S626" s="3"/>
      <c r="T626" s="3"/>
      <c r="U626" s="3"/>
      <c r="V626" s="5"/>
      <c r="W626" s="5"/>
      <c r="X626" s="3"/>
      <c r="Y626" s="5"/>
      <c r="Z626" s="5"/>
      <c r="AA626" s="5"/>
      <c r="AB626" s="33"/>
      <c r="AC626" s="33"/>
      <c r="AD626" s="33"/>
      <c r="AE626" s="33"/>
    </row>
    <row r="627" spans="1:31" ht="24" hidden="1" x14ac:dyDescent="0.25">
      <c r="A627" s="3">
        <v>5</v>
      </c>
      <c r="B627" s="3">
        <v>2</v>
      </c>
      <c r="C627" s="3">
        <v>6</v>
      </c>
      <c r="D627" s="3">
        <v>2</v>
      </c>
      <c r="E627" s="3"/>
      <c r="F627" s="3" t="s">
        <v>333</v>
      </c>
      <c r="G627" s="3"/>
      <c r="H627" s="5"/>
      <c r="I627" s="5"/>
      <c r="J627" s="5"/>
      <c r="K627" s="5"/>
      <c r="L627" s="5"/>
      <c r="M627" s="5"/>
      <c r="N627" s="5"/>
      <c r="O627" s="3"/>
      <c r="P627" s="3"/>
      <c r="Q627" s="3"/>
      <c r="R627" s="3"/>
      <c r="S627" s="3"/>
      <c r="T627" s="3"/>
      <c r="U627" s="3"/>
      <c r="V627" s="5"/>
      <c r="W627" s="5"/>
      <c r="X627" s="3"/>
      <c r="Y627" s="5"/>
      <c r="Z627" s="5"/>
      <c r="AA627" s="5"/>
      <c r="AB627" s="33"/>
      <c r="AC627" s="33"/>
      <c r="AD627" s="33"/>
      <c r="AE627" s="33"/>
    </row>
    <row r="628" spans="1:31" hidden="1" x14ac:dyDescent="0.25">
      <c r="A628" s="3">
        <v>5</v>
      </c>
      <c r="B628" s="3">
        <v>2</v>
      </c>
      <c r="C628" s="3">
        <v>7</v>
      </c>
      <c r="D628" s="3"/>
      <c r="E628" s="3"/>
      <c r="F628" s="4" t="s">
        <v>25</v>
      </c>
      <c r="G628" s="4"/>
      <c r="H628" s="5"/>
      <c r="I628" s="5"/>
      <c r="J628" s="5"/>
      <c r="K628" s="5"/>
      <c r="L628" s="5"/>
      <c r="M628" s="5"/>
      <c r="N628" s="5"/>
      <c r="O628" s="4"/>
      <c r="P628" s="4"/>
      <c r="Q628" s="4"/>
      <c r="R628" s="4"/>
      <c r="S628" s="4"/>
      <c r="T628" s="4"/>
      <c r="U628" s="4"/>
      <c r="V628" s="5"/>
      <c r="W628" s="5"/>
      <c r="X628" s="4"/>
      <c r="Y628" s="5"/>
      <c r="Z628" s="5"/>
      <c r="AA628" s="5"/>
      <c r="AB628" s="33"/>
      <c r="AC628" s="33"/>
      <c r="AD628" s="33"/>
      <c r="AE628" s="33"/>
    </row>
    <row r="629" spans="1:31" hidden="1" x14ac:dyDescent="0.25">
      <c r="A629" s="3">
        <v>5</v>
      </c>
      <c r="B629" s="3">
        <v>2</v>
      </c>
      <c r="C629" s="3">
        <v>7</v>
      </c>
      <c r="D629" s="3">
        <v>1</v>
      </c>
      <c r="E629" s="3"/>
      <c r="F629" s="3" t="s">
        <v>334</v>
      </c>
      <c r="G629" s="3"/>
      <c r="H629" s="5"/>
      <c r="I629" s="5"/>
      <c r="J629" s="5"/>
      <c r="K629" s="5"/>
      <c r="L629" s="5"/>
      <c r="M629" s="5"/>
      <c r="N629" s="5"/>
      <c r="O629" s="3"/>
      <c r="P629" s="3"/>
      <c r="Q629" s="3"/>
      <c r="R629" s="3"/>
      <c r="S629" s="3"/>
      <c r="T629" s="3"/>
      <c r="U629" s="3"/>
      <c r="V629" s="5"/>
      <c r="W629" s="5"/>
      <c r="X629" s="3"/>
      <c r="Y629" s="5"/>
      <c r="Z629" s="5"/>
      <c r="AA629" s="5"/>
      <c r="AB629" s="33"/>
      <c r="AC629" s="33"/>
      <c r="AD629" s="33"/>
      <c r="AE629" s="33"/>
    </row>
    <row r="630" spans="1:31" hidden="1" x14ac:dyDescent="0.25">
      <c r="A630" s="3">
        <v>5</v>
      </c>
      <c r="B630" s="3">
        <v>2</v>
      </c>
      <c r="C630" s="3">
        <v>8</v>
      </c>
      <c r="D630" s="3"/>
      <c r="E630" s="3"/>
      <c r="F630" s="4" t="s">
        <v>335</v>
      </c>
      <c r="G630" s="4"/>
      <c r="H630" s="5"/>
      <c r="I630" s="5"/>
      <c r="J630" s="5"/>
      <c r="K630" s="5"/>
      <c r="L630" s="5"/>
      <c r="M630" s="5"/>
      <c r="N630" s="5"/>
      <c r="O630" s="4"/>
      <c r="P630" s="4"/>
      <c r="Q630" s="4"/>
      <c r="R630" s="4"/>
      <c r="S630" s="4"/>
      <c r="T630" s="4"/>
      <c r="U630" s="4"/>
      <c r="V630" s="5"/>
      <c r="W630" s="5"/>
      <c r="X630" s="4"/>
      <c r="Y630" s="5"/>
      <c r="Z630" s="5"/>
      <c r="AA630" s="5"/>
      <c r="AB630" s="33"/>
      <c r="AC630" s="33"/>
      <c r="AD630" s="33"/>
      <c r="AE630" s="33"/>
    </row>
    <row r="631" spans="1:31" hidden="1" x14ac:dyDescent="0.25">
      <c r="A631" s="3">
        <v>5</v>
      </c>
      <c r="B631" s="3">
        <v>2</v>
      </c>
      <c r="C631" s="3">
        <v>8</v>
      </c>
      <c r="D631" s="3">
        <v>1</v>
      </c>
      <c r="E631" s="3"/>
      <c r="F631" s="3" t="s">
        <v>336</v>
      </c>
      <c r="G631" s="3"/>
      <c r="H631" s="5"/>
      <c r="I631" s="5"/>
      <c r="J631" s="5"/>
      <c r="K631" s="5"/>
      <c r="L631" s="5"/>
      <c r="M631" s="5"/>
      <c r="N631" s="5"/>
      <c r="O631" s="3"/>
      <c r="P631" s="3"/>
      <c r="Q631" s="3"/>
      <c r="R631" s="3"/>
      <c r="S631" s="3"/>
      <c r="T631" s="3"/>
      <c r="U631" s="3"/>
      <c r="V631" s="5"/>
      <c r="W631" s="5"/>
      <c r="X631" s="3"/>
      <c r="Y631" s="5"/>
      <c r="Z631" s="5"/>
      <c r="AA631" s="5"/>
      <c r="AB631" s="33"/>
      <c r="AC631" s="33"/>
      <c r="AD631" s="33"/>
      <c r="AE631" s="33"/>
    </row>
    <row r="632" spans="1:31" hidden="1" x14ac:dyDescent="0.25">
      <c r="A632" s="3">
        <v>5</v>
      </c>
      <c r="B632" s="3">
        <v>2</v>
      </c>
      <c r="C632" s="3">
        <v>8</v>
      </c>
      <c r="D632" s="3">
        <v>2</v>
      </c>
      <c r="E632" s="3"/>
      <c r="F632" s="3" t="s">
        <v>337</v>
      </c>
      <c r="G632" s="3"/>
      <c r="H632" s="5"/>
      <c r="I632" s="5"/>
      <c r="J632" s="5"/>
      <c r="K632" s="5"/>
      <c r="L632" s="5"/>
      <c r="M632" s="5"/>
      <c r="N632" s="5"/>
      <c r="O632" s="3"/>
      <c r="P632" s="3"/>
      <c r="Q632" s="3"/>
      <c r="R632" s="3"/>
      <c r="S632" s="3"/>
      <c r="T632" s="3"/>
      <c r="U632" s="3"/>
      <c r="V632" s="5"/>
      <c r="W632" s="5"/>
      <c r="X632" s="3"/>
      <c r="Y632" s="5"/>
      <c r="Z632" s="5"/>
      <c r="AA632" s="5"/>
      <c r="AB632" s="33"/>
      <c r="AC632" s="33"/>
      <c r="AD632" s="33"/>
      <c r="AE632" s="33"/>
    </row>
    <row r="633" spans="1:31" ht="24" hidden="1" x14ac:dyDescent="0.25">
      <c r="A633" s="3">
        <v>5</v>
      </c>
      <c r="B633" s="3">
        <v>2</v>
      </c>
      <c r="C633" s="3">
        <v>8</v>
      </c>
      <c r="D633" s="3">
        <v>3</v>
      </c>
      <c r="E633" s="3"/>
      <c r="F633" s="3" t="s">
        <v>338</v>
      </c>
      <c r="G633" s="3"/>
      <c r="H633" s="5"/>
      <c r="I633" s="5"/>
      <c r="J633" s="5"/>
      <c r="K633" s="5"/>
      <c r="L633" s="5"/>
      <c r="M633" s="5"/>
      <c r="N633" s="5"/>
      <c r="O633" s="3"/>
      <c r="P633" s="3"/>
      <c r="Q633" s="3"/>
      <c r="R633" s="3"/>
      <c r="S633" s="3"/>
      <c r="T633" s="3"/>
      <c r="U633" s="3"/>
      <c r="V633" s="5"/>
      <c r="W633" s="5"/>
      <c r="X633" s="3"/>
      <c r="Y633" s="5"/>
      <c r="Z633" s="5"/>
      <c r="AA633" s="5"/>
      <c r="AB633" s="33"/>
      <c r="AC633" s="33"/>
      <c r="AD633" s="33"/>
      <c r="AE633" s="33"/>
    </row>
    <row r="634" spans="1:31" ht="24" hidden="1" x14ac:dyDescent="0.25">
      <c r="A634" s="3">
        <v>5</v>
      </c>
      <c r="B634" s="3">
        <v>2</v>
      </c>
      <c r="C634" s="3">
        <v>8</v>
      </c>
      <c r="D634" s="3">
        <v>4</v>
      </c>
      <c r="E634" s="3"/>
      <c r="F634" s="3" t="s">
        <v>339</v>
      </c>
      <c r="G634" s="3"/>
      <c r="H634" s="5"/>
      <c r="I634" s="5"/>
      <c r="J634" s="5"/>
      <c r="K634" s="5"/>
      <c r="L634" s="5"/>
      <c r="M634" s="5"/>
      <c r="N634" s="5"/>
      <c r="O634" s="3"/>
      <c r="P634" s="3"/>
      <c r="Q634" s="3"/>
      <c r="R634" s="3"/>
      <c r="S634" s="3"/>
      <c r="T634" s="3"/>
      <c r="U634" s="3"/>
      <c r="V634" s="5"/>
      <c r="W634" s="5"/>
      <c r="X634" s="3"/>
      <c r="Y634" s="5"/>
      <c r="Z634" s="5"/>
      <c r="AA634" s="5"/>
      <c r="AB634" s="33"/>
      <c r="AC634" s="33"/>
      <c r="AD634" s="33"/>
      <c r="AE634" s="33"/>
    </row>
    <row r="635" spans="1:31" hidden="1" x14ac:dyDescent="0.25">
      <c r="A635" s="3">
        <v>5</v>
      </c>
      <c r="B635" s="3">
        <v>2</v>
      </c>
      <c r="C635" s="3">
        <v>8</v>
      </c>
      <c r="D635" s="3">
        <v>5</v>
      </c>
      <c r="E635" s="3"/>
      <c r="F635" s="3" t="s">
        <v>340</v>
      </c>
      <c r="G635" s="3"/>
      <c r="H635" s="5"/>
      <c r="I635" s="5"/>
      <c r="J635" s="5"/>
      <c r="K635" s="5"/>
      <c r="L635" s="5"/>
      <c r="M635" s="5"/>
      <c r="N635" s="5"/>
      <c r="O635" s="3"/>
      <c r="P635" s="3"/>
      <c r="Q635" s="3"/>
      <c r="R635" s="3"/>
      <c r="S635" s="3"/>
      <c r="T635" s="3"/>
      <c r="U635" s="3"/>
      <c r="V635" s="5"/>
      <c r="W635" s="5"/>
      <c r="X635" s="3"/>
      <c r="Y635" s="5"/>
      <c r="Z635" s="5"/>
      <c r="AA635" s="5"/>
      <c r="AB635" s="33"/>
      <c r="AC635" s="33"/>
      <c r="AD635" s="33"/>
      <c r="AE635" s="33"/>
    </row>
    <row r="636" spans="1:31" hidden="1" x14ac:dyDescent="0.25">
      <c r="A636" s="3">
        <v>5</v>
      </c>
      <c r="B636" s="3">
        <v>2</v>
      </c>
      <c r="C636" s="3">
        <v>9</v>
      </c>
      <c r="D636" s="3"/>
      <c r="E636" s="3"/>
      <c r="F636" s="4" t="s">
        <v>26</v>
      </c>
      <c r="G636" s="4"/>
      <c r="H636" s="5"/>
      <c r="I636" s="5"/>
      <c r="J636" s="5"/>
      <c r="K636" s="5"/>
      <c r="L636" s="5"/>
      <c r="M636" s="5"/>
      <c r="N636" s="5"/>
      <c r="O636" s="4"/>
      <c r="P636" s="4"/>
      <c r="Q636" s="4"/>
      <c r="R636" s="4"/>
      <c r="S636" s="4"/>
      <c r="T636" s="4"/>
      <c r="U636" s="4"/>
      <c r="V636" s="5"/>
      <c r="W636" s="5"/>
      <c r="X636" s="4"/>
      <c r="Y636" s="5"/>
      <c r="Z636" s="5"/>
      <c r="AA636" s="5"/>
      <c r="AB636" s="33"/>
      <c r="AC636" s="33"/>
      <c r="AD636" s="33"/>
      <c r="AE636" s="33"/>
    </row>
    <row r="637" spans="1:31" ht="24" hidden="1" x14ac:dyDescent="0.25">
      <c r="A637" s="3">
        <v>5</v>
      </c>
      <c r="B637" s="3">
        <v>2</v>
      </c>
      <c r="C637" s="3">
        <v>9</v>
      </c>
      <c r="D637" s="3">
        <v>1</v>
      </c>
      <c r="E637" s="3"/>
      <c r="F637" s="3" t="s">
        <v>341</v>
      </c>
      <c r="G637" s="3"/>
      <c r="H637" s="5"/>
      <c r="I637" s="5"/>
      <c r="J637" s="5"/>
      <c r="K637" s="5"/>
      <c r="L637" s="5"/>
      <c r="M637" s="5"/>
      <c r="N637" s="5"/>
      <c r="O637" s="3"/>
      <c r="P637" s="3"/>
      <c r="Q637" s="3"/>
      <c r="R637" s="3"/>
      <c r="S637" s="3"/>
      <c r="T637" s="3"/>
      <c r="U637" s="3"/>
      <c r="V637" s="5"/>
      <c r="W637" s="5"/>
      <c r="X637" s="3"/>
      <c r="Y637" s="5"/>
      <c r="Z637" s="5"/>
      <c r="AA637" s="5"/>
      <c r="AB637" s="33"/>
      <c r="AC637" s="33"/>
      <c r="AD637" s="33"/>
      <c r="AE637" s="33"/>
    </row>
    <row r="638" spans="1:31" hidden="1" x14ac:dyDescent="0.25">
      <c r="A638" s="3">
        <v>5</v>
      </c>
      <c r="B638" s="3">
        <v>2</v>
      </c>
      <c r="C638" s="3">
        <v>9</v>
      </c>
      <c r="D638" s="3">
        <v>2</v>
      </c>
      <c r="E638" s="3"/>
      <c r="F638" s="3" t="s">
        <v>342</v>
      </c>
      <c r="G638" s="3"/>
      <c r="H638" s="5"/>
      <c r="I638" s="5"/>
      <c r="J638" s="5"/>
      <c r="K638" s="5"/>
      <c r="L638" s="5"/>
      <c r="M638" s="5"/>
      <c r="N638" s="5"/>
      <c r="O638" s="3"/>
      <c r="P638" s="3"/>
      <c r="Q638" s="3"/>
      <c r="R638" s="3"/>
      <c r="S638" s="3"/>
      <c r="T638" s="3"/>
      <c r="U638" s="3"/>
      <c r="V638" s="5"/>
      <c r="W638" s="5"/>
      <c r="X638" s="3"/>
      <c r="Y638" s="5"/>
      <c r="Z638" s="5"/>
      <c r="AA638" s="5"/>
      <c r="AB638" s="33"/>
      <c r="AC638" s="33"/>
      <c r="AD638" s="33"/>
      <c r="AE638" s="33"/>
    </row>
    <row r="639" spans="1:31" hidden="1" x14ac:dyDescent="0.25">
      <c r="A639" s="2">
        <v>5</v>
      </c>
      <c r="B639" s="2">
        <v>3</v>
      </c>
      <c r="C639" s="2"/>
      <c r="D639" s="2"/>
      <c r="E639" s="2"/>
      <c r="F639" s="2" t="s">
        <v>343</v>
      </c>
      <c r="G639" s="2"/>
      <c r="H639" s="5"/>
      <c r="I639" s="5"/>
      <c r="J639" s="5"/>
      <c r="K639" s="5"/>
      <c r="L639" s="5"/>
      <c r="M639" s="5"/>
      <c r="N639" s="5"/>
      <c r="O639" s="2"/>
      <c r="P639" s="2"/>
      <c r="Q639" s="2"/>
      <c r="R639" s="2"/>
      <c r="S639" s="2"/>
      <c r="T639" s="2"/>
      <c r="U639" s="2"/>
      <c r="V639" s="5"/>
      <c r="W639" s="5"/>
      <c r="X639" s="2"/>
      <c r="Y639" s="5"/>
      <c r="Z639" s="5"/>
      <c r="AA639" s="5"/>
      <c r="AB639" s="33"/>
      <c r="AC639" s="33"/>
      <c r="AD639" s="33"/>
      <c r="AE639" s="33"/>
    </row>
    <row r="640" spans="1:31" hidden="1" x14ac:dyDescent="0.25">
      <c r="A640" s="3">
        <v>5</v>
      </c>
      <c r="B640" s="3">
        <v>3</v>
      </c>
      <c r="C640" s="3">
        <v>1</v>
      </c>
      <c r="D640" s="3"/>
      <c r="E640" s="3"/>
      <c r="F640" s="4" t="s">
        <v>27</v>
      </c>
      <c r="G640" s="4"/>
      <c r="H640" s="5"/>
      <c r="I640" s="5"/>
      <c r="J640" s="5"/>
      <c r="K640" s="5"/>
      <c r="L640" s="5"/>
      <c r="M640" s="5"/>
      <c r="N640" s="5"/>
      <c r="O640" s="4"/>
      <c r="P640" s="4"/>
      <c r="Q640" s="4"/>
      <c r="R640" s="4"/>
      <c r="S640" s="4"/>
      <c r="T640" s="4"/>
      <c r="U640" s="4"/>
      <c r="V640" s="5"/>
      <c r="W640" s="5"/>
      <c r="X640" s="4"/>
      <c r="Y640" s="5"/>
      <c r="Z640" s="5"/>
      <c r="AA640" s="5"/>
      <c r="AB640" s="33"/>
      <c r="AC640" s="33"/>
      <c r="AD640" s="33"/>
      <c r="AE640" s="33"/>
    </row>
    <row r="641" spans="1:31" ht="24" hidden="1" x14ac:dyDescent="0.25">
      <c r="A641" s="3">
        <v>5</v>
      </c>
      <c r="B641" s="3">
        <v>3</v>
      </c>
      <c r="C641" s="3">
        <v>1</v>
      </c>
      <c r="D641" s="3">
        <v>1</v>
      </c>
      <c r="E641" s="3"/>
      <c r="F641" s="3" t="s">
        <v>344</v>
      </c>
      <c r="G641" s="3"/>
      <c r="H641" s="5"/>
      <c r="I641" s="5"/>
      <c r="J641" s="5"/>
      <c r="K641" s="5"/>
      <c r="L641" s="5"/>
      <c r="M641" s="5"/>
      <c r="N641" s="5"/>
      <c r="O641" s="3"/>
      <c r="P641" s="3"/>
      <c r="Q641" s="3"/>
      <c r="R641" s="3"/>
      <c r="S641" s="3"/>
      <c r="T641" s="3"/>
      <c r="U641" s="3"/>
      <c r="V641" s="5"/>
      <c r="W641" s="5"/>
      <c r="X641" s="3"/>
      <c r="Y641" s="5"/>
      <c r="Z641" s="5"/>
      <c r="AA641" s="5"/>
      <c r="AB641" s="33"/>
      <c r="AC641" s="33"/>
      <c r="AD641" s="33"/>
      <c r="AE641" s="33"/>
    </row>
    <row r="642" spans="1:31" ht="24" hidden="1" x14ac:dyDescent="0.25">
      <c r="A642" s="3">
        <v>5</v>
      </c>
      <c r="B642" s="3">
        <v>3</v>
      </c>
      <c r="C642" s="3">
        <v>1</v>
      </c>
      <c r="D642" s="3">
        <v>2</v>
      </c>
      <c r="E642" s="3"/>
      <c r="F642" s="3" t="s">
        <v>345</v>
      </c>
      <c r="G642" s="3"/>
      <c r="H642" s="5"/>
      <c r="I642" s="5"/>
      <c r="J642" s="5"/>
      <c r="K642" s="5"/>
      <c r="L642" s="5"/>
      <c r="M642" s="5"/>
      <c r="N642" s="5"/>
      <c r="O642" s="3"/>
      <c r="P642" s="3"/>
      <c r="Q642" s="3"/>
      <c r="R642" s="3"/>
      <c r="S642" s="3"/>
      <c r="T642" s="3"/>
      <c r="U642" s="3"/>
      <c r="V642" s="5"/>
      <c r="W642" s="5"/>
      <c r="X642" s="3"/>
      <c r="Y642" s="5"/>
      <c r="Z642" s="5"/>
      <c r="AA642" s="5"/>
      <c r="AB642" s="33"/>
      <c r="AC642" s="33"/>
      <c r="AD642" s="33"/>
      <c r="AE642" s="33"/>
    </row>
    <row r="643" spans="1:31" hidden="1" x14ac:dyDescent="0.25">
      <c r="A643" s="3">
        <v>5</v>
      </c>
      <c r="B643" s="3">
        <v>3</v>
      </c>
      <c r="C643" s="3">
        <v>2</v>
      </c>
      <c r="D643" s="3"/>
      <c r="E643" s="3"/>
      <c r="F643" s="4" t="s">
        <v>28</v>
      </c>
      <c r="G643" s="4"/>
      <c r="H643" s="5"/>
      <c r="I643" s="5"/>
      <c r="J643" s="5"/>
      <c r="K643" s="5"/>
      <c r="L643" s="5"/>
      <c r="M643" s="5"/>
      <c r="N643" s="5"/>
      <c r="O643" s="4"/>
      <c r="P643" s="4"/>
      <c r="Q643" s="4"/>
      <c r="R643" s="4"/>
      <c r="S643" s="4"/>
      <c r="T643" s="4"/>
      <c r="U643" s="4"/>
      <c r="V643" s="5"/>
      <c r="W643" s="5"/>
      <c r="X643" s="4"/>
      <c r="Y643" s="5"/>
      <c r="Z643" s="5"/>
      <c r="AA643" s="5"/>
      <c r="AB643" s="33"/>
      <c r="AC643" s="33"/>
      <c r="AD643" s="33"/>
      <c r="AE643" s="33"/>
    </row>
    <row r="644" spans="1:31" ht="24" hidden="1" x14ac:dyDescent="0.25">
      <c r="A644" s="3">
        <v>5</v>
      </c>
      <c r="B644" s="3">
        <v>3</v>
      </c>
      <c r="C644" s="3">
        <v>2</v>
      </c>
      <c r="D644" s="3">
        <v>1</v>
      </c>
      <c r="E644" s="3"/>
      <c r="F644" s="3" t="s">
        <v>346</v>
      </c>
      <c r="G644" s="3"/>
      <c r="H644" s="5"/>
      <c r="I644" s="5"/>
      <c r="J644" s="5"/>
      <c r="K644" s="5"/>
      <c r="L644" s="5"/>
      <c r="M644" s="5"/>
      <c r="N644" s="5"/>
      <c r="O644" s="3"/>
      <c r="P644" s="3"/>
      <c r="Q644" s="3"/>
      <c r="R644" s="3"/>
      <c r="S644" s="3"/>
      <c r="T644" s="3"/>
      <c r="U644" s="3"/>
      <c r="V644" s="5"/>
      <c r="W644" s="5"/>
      <c r="X644" s="3"/>
      <c r="Y644" s="5"/>
      <c r="Z644" s="5"/>
      <c r="AA644" s="5"/>
      <c r="AB644" s="33"/>
      <c r="AC644" s="33"/>
      <c r="AD644" s="33"/>
      <c r="AE644" s="33"/>
    </row>
    <row r="645" spans="1:31" ht="24" hidden="1" x14ac:dyDescent="0.25">
      <c r="A645" s="3">
        <v>5</v>
      </c>
      <c r="B645" s="3">
        <v>3</v>
      </c>
      <c r="C645" s="3">
        <v>2</v>
      </c>
      <c r="D645" s="3">
        <v>2</v>
      </c>
      <c r="E645" s="3"/>
      <c r="F645" s="3" t="s">
        <v>347</v>
      </c>
      <c r="G645" s="3"/>
      <c r="H645" s="5"/>
      <c r="I645" s="5"/>
      <c r="J645" s="5"/>
      <c r="K645" s="5"/>
      <c r="L645" s="5"/>
      <c r="M645" s="5"/>
      <c r="N645" s="5"/>
      <c r="O645" s="3"/>
      <c r="P645" s="3"/>
      <c r="Q645" s="3"/>
      <c r="R645" s="3"/>
      <c r="S645" s="3"/>
      <c r="T645" s="3"/>
      <c r="U645" s="3"/>
      <c r="V645" s="5"/>
      <c r="W645" s="5"/>
      <c r="X645" s="3"/>
      <c r="Y645" s="5"/>
      <c r="Z645" s="5"/>
      <c r="AA645" s="5"/>
      <c r="AB645" s="33"/>
      <c r="AC645" s="33"/>
      <c r="AD645" s="33"/>
      <c r="AE645" s="33"/>
    </row>
    <row r="646" spans="1:31" hidden="1" x14ac:dyDescent="0.25">
      <c r="A646" s="3">
        <v>5</v>
      </c>
      <c r="B646" s="3">
        <v>3</v>
      </c>
      <c r="C646" s="3">
        <v>3</v>
      </c>
      <c r="D646" s="3"/>
      <c r="E646" s="3"/>
      <c r="F646" s="4" t="s">
        <v>29</v>
      </c>
      <c r="G646" s="4"/>
      <c r="H646" s="5"/>
      <c r="I646" s="5"/>
      <c r="J646" s="5"/>
      <c r="K646" s="5"/>
      <c r="L646" s="5"/>
      <c r="M646" s="5"/>
      <c r="N646" s="5"/>
      <c r="O646" s="4"/>
      <c r="P646" s="4"/>
      <c r="Q646" s="4"/>
      <c r="R646" s="4"/>
      <c r="S646" s="4"/>
      <c r="T646" s="4"/>
      <c r="U646" s="4"/>
      <c r="V646" s="5"/>
      <c r="W646" s="5"/>
      <c r="X646" s="4"/>
      <c r="Y646" s="5"/>
      <c r="Z646" s="5"/>
      <c r="AA646" s="5"/>
      <c r="AB646" s="33"/>
      <c r="AC646" s="33"/>
      <c r="AD646" s="33"/>
      <c r="AE646" s="33"/>
    </row>
    <row r="647" spans="1:31" hidden="1" x14ac:dyDescent="0.25">
      <c r="A647" s="3">
        <v>5</v>
      </c>
      <c r="B647" s="3">
        <v>3</v>
      </c>
      <c r="C647" s="3">
        <v>3</v>
      </c>
      <c r="D647" s="3">
        <v>1</v>
      </c>
      <c r="E647" s="3"/>
      <c r="F647" s="3" t="s">
        <v>348</v>
      </c>
      <c r="G647" s="3"/>
      <c r="H647" s="5"/>
      <c r="I647" s="5"/>
      <c r="J647" s="5"/>
      <c r="K647" s="5"/>
      <c r="L647" s="5"/>
      <c r="M647" s="5"/>
      <c r="N647" s="5"/>
      <c r="O647" s="3"/>
      <c r="P647" s="3"/>
      <c r="Q647" s="3"/>
      <c r="R647" s="3"/>
      <c r="S647" s="3"/>
      <c r="T647" s="3"/>
      <c r="U647" s="3"/>
      <c r="V647" s="5"/>
      <c r="W647" s="5"/>
      <c r="X647" s="3"/>
      <c r="Y647" s="5"/>
      <c r="Z647" s="5"/>
      <c r="AA647" s="5"/>
      <c r="AB647" s="33"/>
      <c r="AC647" s="33"/>
      <c r="AD647" s="33"/>
      <c r="AE647" s="33"/>
    </row>
    <row r="648" spans="1:31" hidden="1" x14ac:dyDescent="0.25">
      <c r="A648" s="3">
        <v>5</v>
      </c>
      <c r="B648" s="3">
        <v>3</v>
      </c>
      <c r="C648" s="3">
        <v>3</v>
      </c>
      <c r="D648" s="3">
        <v>2</v>
      </c>
      <c r="E648" s="3"/>
      <c r="F648" s="3" t="s">
        <v>349</v>
      </c>
      <c r="G648" s="3"/>
      <c r="H648" s="5"/>
      <c r="I648" s="5"/>
      <c r="J648" s="5"/>
      <c r="K648" s="5"/>
      <c r="L648" s="5"/>
      <c r="M648" s="5"/>
      <c r="N648" s="5"/>
      <c r="O648" s="3"/>
      <c r="P648" s="3"/>
      <c r="Q648" s="3"/>
      <c r="R648" s="3"/>
      <c r="S648" s="3"/>
      <c r="T648" s="3"/>
      <c r="U648" s="3"/>
      <c r="V648" s="5"/>
      <c r="W648" s="5"/>
      <c r="X648" s="3"/>
      <c r="Y648" s="5"/>
      <c r="Z648" s="5"/>
      <c r="AA648" s="5"/>
      <c r="AB648" s="33"/>
      <c r="AC648" s="33"/>
      <c r="AD648" s="33"/>
      <c r="AE648" s="33"/>
    </row>
    <row r="649" spans="1:31" ht="24" hidden="1" x14ac:dyDescent="0.25">
      <c r="A649" s="2">
        <v>5</v>
      </c>
      <c r="B649" s="2">
        <v>4</v>
      </c>
      <c r="C649" s="2"/>
      <c r="D649" s="2"/>
      <c r="E649" s="2"/>
      <c r="F649" s="2" t="s">
        <v>350</v>
      </c>
      <c r="G649" s="2"/>
      <c r="H649" s="5"/>
      <c r="I649" s="5"/>
      <c r="J649" s="5"/>
      <c r="K649" s="5"/>
      <c r="L649" s="5"/>
      <c r="M649" s="5"/>
      <c r="N649" s="5"/>
      <c r="O649" s="2"/>
      <c r="P649" s="2"/>
      <c r="Q649" s="2"/>
      <c r="R649" s="2"/>
      <c r="S649" s="2"/>
      <c r="T649" s="2"/>
      <c r="U649" s="2"/>
      <c r="V649" s="5"/>
      <c r="W649" s="5"/>
      <c r="X649" s="2"/>
      <c r="Y649" s="5"/>
      <c r="Z649" s="5"/>
      <c r="AA649" s="5"/>
      <c r="AB649" s="33"/>
      <c r="AC649" s="33"/>
      <c r="AD649" s="33"/>
      <c r="AE649" s="33"/>
    </row>
    <row r="650" spans="1:31" hidden="1" x14ac:dyDescent="0.25">
      <c r="A650" s="3">
        <v>5</v>
      </c>
      <c r="B650" s="3">
        <v>4</v>
      </c>
      <c r="C650" s="3">
        <v>1</v>
      </c>
      <c r="D650" s="3"/>
      <c r="E650" s="3"/>
      <c r="F650" s="4" t="s">
        <v>30</v>
      </c>
      <c r="G650" s="4"/>
      <c r="H650" s="5"/>
      <c r="I650" s="5"/>
      <c r="J650" s="5"/>
      <c r="K650" s="5"/>
      <c r="L650" s="5"/>
      <c r="M650" s="5"/>
      <c r="N650" s="5"/>
      <c r="O650" s="4"/>
      <c r="P650" s="4"/>
      <c r="Q650" s="4"/>
      <c r="R650" s="4"/>
      <c r="S650" s="4"/>
      <c r="T650" s="4"/>
      <c r="U650" s="4"/>
      <c r="V650" s="5"/>
      <c r="W650" s="5"/>
      <c r="X650" s="4"/>
      <c r="Y650" s="5"/>
      <c r="Z650" s="5"/>
      <c r="AA650" s="5"/>
      <c r="AB650" s="33"/>
      <c r="AC650" s="33"/>
      <c r="AD650" s="33"/>
      <c r="AE650" s="33"/>
    </row>
    <row r="651" spans="1:31" hidden="1" x14ac:dyDescent="0.25">
      <c r="A651" s="3">
        <v>5</v>
      </c>
      <c r="B651" s="3">
        <v>4</v>
      </c>
      <c r="C651" s="3">
        <v>1</v>
      </c>
      <c r="D651" s="3">
        <v>1</v>
      </c>
      <c r="E651" s="3"/>
      <c r="F651" s="3" t="s">
        <v>351</v>
      </c>
      <c r="G651" s="3"/>
      <c r="H651" s="5"/>
      <c r="I651" s="5"/>
      <c r="J651" s="5"/>
      <c r="K651" s="5"/>
      <c r="L651" s="5"/>
      <c r="M651" s="5"/>
      <c r="N651" s="5"/>
      <c r="O651" s="3"/>
      <c r="P651" s="3"/>
      <c r="Q651" s="3"/>
      <c r="R651" s="3"/>
      <c r="S651" s="3"/>
      <c r="T651" s="3"/>
      <c r="U651" s="3"/>
      <c r="V651" s="5"/>
      <c r="W651" s="5"/>
      <c r="X651" s="3"/>
      <c r="Y651" s="5"/>
      <c r="Z651" s="5"/>
      <c r="AA651" s="5"/>
      <c r="AB651" s="33"/>
      <c r="AC651" s="33"/>
      <c r="AD651" s="33"/>
      <c r="AE651" s="33"/>
    </row>
    <row r="652" spans="1:31" hidden="1" x14ac:dyDescent="0.25">
      <c r="A652" s="3">
        <v>5</v>
      </c>
      <c r="B652" s="3">
        <v>4</v>
      </c>
      <c r="C652" s="3">
        <v>1</v>
      </c>
      <c r="D652" s="3">
        <v>2</v>
      </c>
      <c r="E652" s="3"/>
      <c r="F652" s="3" t="s">
        <v>352</v>
      </c>
      <c r="G652" s="3"/>
      <c r="H652" s="5"/>
      <c r="I652" s="5"/>
      <c r="J652" s="5"/>
      <c r="K652" s="5"/>
      <c r="L652" s="5"/>
      <c r="M652" s="5"/>
      <c r="N652" s="5"/>
      <c r="O652" s="3"/>
      <c r="P652" s="3"/>
      <c r="Q652" s="3"/>
      <c r="R652" s="3"/>
      <c r="S652" s="3"/>
      <c r="T652" s="3"/>
      <c r="U652" s="3"/>
      <c r="V652" s="5"/>
      <c r="W652" s="5"/>
      <c r="X652" s="3"/>
      <c r="Y652" s="5"/>
      <c r="Z652" s="5"/>
      <c r="AA652" s="5"/>
      <c r="AB652" s="33"/>
      <c r="AC652" s="33"/>
      <c r="AD652" s="33"/>
      <c r="AE652" s="33"/>
    </row>
    <row r="653" spans="1:31" hidden="1" x14ac:dyDescent="0.25">
      <c r="A653" s="3">
        <v>5</v>
      </c>
      <c r="B653" s="3">
        <v>4</v>
      </c>
      <c r="C653" s="3">
        <v>2</v>
      </c>
      <c r="D653" s="3"/>
      <c r="E653" s="3"/>
      <c r="F653" s="4" t="s">
        <v>31</v>
      </c>
      <c r="G653" s="4"/>
      <c r="H653" s="5"/>
      <c r="I653" s="5"/>
      <c r="J653" s="5"/>
      <c r="K653" s="5"/>
      <c r="L653" s="5"/>
      <c r="M653" s="5"/>
      <c r="N653" s="5"/>
      <c r="O653" s="4"/>
      <c r="P653" s="4"/>
      <c r="Q653" s="4"/>
      <c r="R653" s="4"/>
      <c r="S653" s="4"/>
      <c r="T653" s="4"/>
      <c r="U653" s="4"/>
      <c r="V653" s="5"/>
      <c r="W653" s="5"/>
      <c r="X653" s="4"/>
      <c r="Y653" s="5"/>
      <c r="Z653" s="5"/>
      <c r="AA653" s="5"/>
      <c r="AB653" s="33"/>
      <c r="AC653" s="33"/>
      <c r="AD653" s="33"/>
      <c r="AE653" s="33"/>
    </row>
    <row r="654" spans="1:31" hidden="1" x14ac:dyDescent="0.25">
      <c r="A654" s="3">
        <v>5</v>
      </c>
      <c r="B654" s="3">
        <v>4</v>
      </c>
      <c r="C654" s="3">
        <v>2</v>
      </c>
      <c r="D654" s="3">
        <v>1</v>
      </c>
      <c r="E654" s="3"/>
      <c r="F654" s="3" t="s">
        <v>353</v>
      </c>
      <c r="G654" s="3"/>
      <c r="H654" s="5"/>
      <c r="I654" s="5"/>
      <c r="J654" s="5"/>
      <c r="K654" s="5"/>
      <c r="L654" s="5"/>
      <c r="M654" s="5"/>
      <c r="N654" s="5"/>
      <c r="O654" s="3"/>
      <c r="P654" s="3"/>
      <c r="Q654" s="3"/>
      <c r="R654" s="3"/>
      <c r="S654" s="3"/>
      <c r="T654" s="3"/>
      <c r="U654" s="3"/>
      <c r="V654" s="5"/>
      <c r="W654" s="5"/>
      <c r="X654" s="3"/>
      <c r="Y654" s="5"/>
      <c r="Z654" s="5"/>
      <c r="AA654" s="5"/>
      <c r="AB654" s="33"/>
      <c r="AC654" s="33"/>
      <c r="AD654" s="33"/>
      <c r="AE654" s="33"/>
    </row>
    <row r="655" spans="1:31" hidden="1" x14ac:dyDescent="0.25">
      <c r="A655" s="3">
        <v>5</v>
      </c>
      <c r="B655" s="3">
        <v>4</v>
      </c>
      <c r="C655" s="3">
        <v>2</v>
      </c>
      <c r="D655" s="3">
        <v>2</v>
      </c>
      <c r="E655" s="3"/>
      <c r="F655" s="3" t="s">
        <v>354</v>
      </c>
      <c r="G655" s="3"/>
      <c r="H655" s="5"/>
      <c r="I655" s="5"/>
      <c r="J655" s="5"/>
      <c r="K655" s="5"/>
      <c r="L655" s="5"/>
      <c r="M655" s="5"/>
      <c r="N655" s="5"/>
      <c r="O655" s="3"/>
      <c r="P655" s="3"/>
      <c r="Q655" s="3"/>
      <c r="R655" s="3"/>
      <c r="S655" s="3"/>
      <c r="T655" s="3"/>
      <c r="U655" s="3"/>
      <c r="V655" s="5"/>
      <c r="W655" s="5"/>
      <c r="X655" s="3"/>
      <c r="Y655" s="5"/>
      <c r="Z655" s="5"/>
      <c r="AA655" s="5"/>
      <c r="AB655" s="33"/>
      <c r="AC655" s="33"/>
      <c r="AD655" s="33"/>
      <c r="AE655" s="33"/>
    </row>
    <row r="656" spans="1:31" hidden="1" x14ac:dyDescent="0.25">
      <c r="A656" s="3">
        <v>5</v>
      </c>
      <c r="B656" s="3">
        <v>4</v>
      </c>
      <c r="C656" s="3">
        <v>3</v>
      </c>
      <c r="D656" s="3"/>
      <c r="E656" s="3"/>
      <c r="F656" s="4" t="s">
        <v>32</v>
      </c>
      <c r="G656" s="4"/>
      <c r="H656" s="5"/>
      <c r="I656" s="5"/>
      <c r="J656" s="5"/>
      <c r="K656" s="5"/>
      <c r="L656" s="5"/>
      <c r="M656" s="5"/>
      <c r="N656" s="5"/>
      <c r="O656" s="4"/>
      <c r="P656" s="4"/>
      <c r="Q656" s="4"/>
      <c r="R656" s="4"/>
      <c r="S656" s="4"/>
      <c r="T656" s="4"/>
      <c r="U656" s="4"/>
      <c r="V656" s="5"/>
      <c r="W656" s="5"/>
      <c r="X656" s="4"/>
      <c r="Y656" s="5"/>
      <c r="Z656" s="5"/>
      <c r="AA656" s="5"/>
      <c r="AB656" s="33"/>
      <c r="AC656" s="33"/>
      <c r="AD656" s="33"/>
      <c r="AE656" s="33"/>
    </row>
    <row r="657" spans="1:31" hidden="1" x14ac:dyDescent="0.25">
      <c r="A657" s="3">
        <v>5</v>
      </c>
      <c r="B657" s="3">
        <v>4</v>
      </c>
      <c r="C657" s="3">
        <v>3</v>
      </c>
      <c r="D657" s="3">
        <v>1</v>
      </c>
      <c r="E657" s="3"/>
      <c r="F657" s="3" t="s">
        <v>355</v>
      </c>
      <c r="G657" s="3"/>
      <c r="H657" s="5"/>
      <c r="I657" s="5"/>
      <c r="J657" s="5"/>
      <c r="K657" s="5"/>
      <c r="L657" s="5"/>
      <c r="M657" s="5"/>
      <c r="N657" s="5"/>
      <c r="O657" s="3"/>
      <c r="P657" s="3"/>
      <c r="Q657" s="3"/>
      <c r="R657" s="3"/>
      <c r="S657" s="3"/>
      <c r="T657" s="3"/>
      <c r="U657" s="3"/>
      <c r="V657" s="5"/>
      <c r="W657" s="5"/>
      <c r="X657" s="3"/>
      <c r="Y657" s="5"/>
      <c r="Z657" s="5"/>
      <c r="AA657" s="5"/>
      <c r="AB657" s="33"/>
      <c r="AC657" s="33"/>
      <c r="AD657" s="33"/>
      <c r="AE657" s="33"/>
    </row>
    <row r="658" spans="1:31" hidden="1" x14ac:dyDescent="0.25">
      <c r="A658" s="3">
        <v>5</v>
      </c>
      <c r="B658" s="3">
        <v>4</v>
      </c>
      <c r="C658" s="3">
        <v>3</v>
      </c>
      <c r="D658" s="3">
        <v>2</v>
      </c>
      <c r="E658" s="3"/>
      <c r="F658" s="3" t="s">
        <v>356</v>
      </c>
      <c r="G658" s="3"/>
      <c r="H658" s="5"/>
      <c r="I658" s="5"/>
      <c r="J658" s="5"/>
      <c r="K658" s="5"/>
      <c r="L658" s="5"/>
      <c r="M658" s="5"/>
      <c r="N658" s="5"/>
      <c r="O658" s="3"/>
      <c r="P658" s="3"/>
      <c r="Q658" s="3"/>
      <c r="R658" s="3"/>
      <c r="S658" s="3"/>
      <c r="T658" s="3"/>
      <c r="U658" s="3"/>
      <c r="V658" s="5"/>
      <c r="W658" s="5"/>
      <c r="X658" s="3"/>
      <c r="Y658" s="5"/>
      <c r="Z658" s="5"/>
      <c r="AA658" s="5"/>
      <c r="AB658" s="33"/>
      <c r="AC658" s="33"/>
      <c r="AD658" s="33"/>
      <c r="AE658" s="33"/>
    </row>
    <row r="659" spans="1:31" hidden="1" x14ac:dyDescent="0.25">
      <c r="A659" s="3">
        <v>5</v>
      </c>
      <c r="B659" s="3">
        <v>4</v>
      </c>
      <c r="C659" s="3">
        <v>4</v>
      </c>
      <c r="D659" s="3"/>
      <c r="E659" s="3"/>
      <c r="F659" s="4" t="s">
        <v>33</v>
      </c>
      <c r="G659" s="4"/>
      <c r="H659" s="5"/>
      <c r="I659" s="5"/>
      <c r="J659" s="5"/>
      <c r="K659" s="5"/>
      <c r="L659" s="5"/>
      <c r="M659" s="5"/>
      <c r="N659" s="5"/>
      <c r="O659" s="4"/>
      <c r="P659" s="4"/>
      <c r="Q659" s="4"/>
      <c r="R659" s="4"/>
      <c r="S659" s="4"/>
      <c r="T659" s="4"/>
      <c r="U659" s="4"/>
      <c r="V659" s="5"/>
      <c r="W659" s="5"/>
      <c r="X659" s="4"/>
      <c r="Y659" s="5"/>
      <c r="Z659" s="5"/>
      <c r="AA659" s="5"/>
      <c r="AB659" s="33"/>
      <c r="AC659" s="33"/>
      <c r="AD659" s="33"/>
      <c r="AE659" s="33"/>
    </row>
    <row r="660" spans="1:31" hidden="1" x14ac:dyDescent="0.25">
      <c r="A660" s="3">
        <v>5</v>
      </c>
      <c r="B660" s="3">
        <v>4</v>
      </c>
      <c r="C660" s="3">
        <v>4</v>
      </c>
      <c r="D660" s="3">
        <v>1</v>
      </c>
      <c r="E660" s="3"/>
      <c r="F660" s="3" t="s">
        <v>33</v>
      </c>
      <c r="G660" s="3"/>
      <c r="H660" s="5"/>
      <c r="I660" s="5"/>
      <c r="J660" s="5"/>
      <c r="K660" s="5"/>
      <c r="L660" s="5"/>
      <c r="M660" s="5"/>
      <c r="N660" s="5"/>
      <c r="O660" s="3"/>
      <c r="P660" s="3"/>
      <c r="Q660" s="3"/>
      <c r="R660" s="3"/>
      <c r="S660" s="3"/>
      <c r="T660" s="3"/>
      <c r="U660" s="3"/>
      <c r="V660" s="5"/>
      <c r="W660" s="5"/>
      <c r="X660" s="3"/>
      <c r="Y660" s="5"/>
      <c r="Z660" s="5"/>
      <c r="AA660" s="5"/>
      <c r="AB660" s="33"/>
      <c r="AC660" s="33"/>
      <c r="AD660" s="33"/>
      <c r="AE660" s="33"/>
    </row>
    <row r="661" spans="1:31" hidden="1" x14ac:dyDescent="0.25">
      <c r="A661" s="3">
        <v>5</v>
      </c>
      <c r="B661" s="3">
        <v>4</v>
      </c>
      <c r="C661" s="3">
        <v>5</v>
      </c>
      <c r="D661" s="3"/>
      <c r="E661" s="3"/>
      <c r="F661" s="4" t="s">
        <v>34</v>
      </c>
      <c r="G661" s="4"/>
      <c r="H661" s="5"/>
      <c r="I661" s="5"/>
      <c r="J661" s="5"/>
      <c r="K661" s="5"/>
      <c r="L661" s="5"/>
      <c r="M661" s="5"/>
      <c r="N661" s="5"/>
      <c r="O661" s="4"/>
      <c r="P661" s="4"/>
      <c r="Q661" s="4"/>
      <c r="R661" s="4"/>
      <c r="S661" s="4"/>
      <c r="T661" s="4"/>
      <c r="U661" s="4"/>
      <c r="V661" s="5"/>
      <c r="W661" s="5"/>
      <c r="X661" s="4"/>
      <c r="Y661" s="5"/>
      <c r="Z661" s="5"/>
      <c r="AA661" s="5"/>
      <c r="AB661" s="33"/>
      <c r="AC661" s="33"/>
      <c r="AD661" s="33"/>
      <c r="AE661" s="33"/>
    </row>
    <row r="662" spans="1:31" hidden="1" x14ac:dyDescent="0.25">
      <c r="A662" s="3">
        <v>5</v>
      </c>
      <c r="B662" s="3">
        <v>4</v>
      </c>
      <c r="C662" s="3">
        <v>5</v>
      </c>
      <c r="D662" s="3">
        <v>1</v>
      </c>
      <c r="E662" s="3"/>
      <c r="F662" s="3" t="s">
        <v>357</v>
      </c>
      <c r="G662" s="3"/>
      <c r="H662" s="5"/>
      <c r="I662" s="5"/>
      <c r="J662" s="5"/>
      <c r="K662" s="5"/>
      <c r="L662" s="5"/>
      <c r="M662" s="5"/>
      <c r="N662" s="5"/>
      <c r="O662" s="3"/>
      <c r="P662" s="3"/>
      <c r="Q662" s="3"/>
      <c r="R662" s="3"/>
      <c r="S662" s="3"/>
      <c r="T662" s="3"/>
      <c r="U662" s="3"/>
      <c r="V662" s="5"/>
      <c r="W662" s="5"/>
      <c r="X662" s="3"/>
      <c r="Y662" s="5"/>
      <c r="Z662" s="5"/>
      <c r="AA662" s="5"/>
      <c r="AB662" s="33"/>
      <c r="AC662" s="33"/>
      <c r="AD662" s="33"/>
      <c r="AE662" s="33"/>
    </row>
    <row r="663" spans="1:31" ht="24" hidden="1" x14ac:dyDescent="0.25">
      <c r="A663" s="3">
        <v>5</v>
      </c>
      <c r="B663" s="3">
        <v>4</v>
      </c>
      <c r="C663" s="3">
        <v>5</v>
      </c>
      <c r="D663" s="3">
        <v>2</v>
      </c>
      <c r="E663" s="3"/>
      <c r="F663" s="3" t="s">
        <v>358</v>
      </c>
      <c r="G663" s="3"/>
      <c r="H663" s="5"/>
      <c r="I663" s="5"/>
      <c r="J663" s="5"/>
      <c r="K663" s="5"/>
      <c r="L663" s="5"/>
      <c r="M663" s="5"/>
      <c r="N663" s="5"/>
      <c r="O663" s="3"/>
      <c r="P663" s="3"/>
      <c r="Q663" s="3"/>
      <c r="R663" s="3"/>
      <c r="S663" s="3"/>
      <c r="T663" s="3"/>
      <c r="U663" s="3"/>
      <c r="V663" s="5"/>
      <c r="W663" s="5"/>
      <c r="X663" s="3"/>
      <c r="Y663" s="5"/>
      <c r="Z663" s="5"/>
      <c r="AA663" s="5"/>
      <c r="AB663" s="33"/>
      <c r="AC663" s="33"/>
      <c r="AD663" s="33"/>
      <c r="AE663" s="33"/>
    </row>
    <row r="664" spans="1:31" ht="24" x14ac:dyDescent="0.25">
      <c r="A664" s="335">
        <v>5</v>
      </c>
      <c r="B664" s="335">
        <v>5</v>
      </c>
      <c r="C664" s="335"/>
      <c r="D664" s="335"/>
      <c r="E664" s="335"/>
      <c r="F664" s="13" t="s">
        <v>359</v>
      </c>
      <c r="G664" s="7">
        <f>+G665+G673+G676+G682+G684+G686</f>
        <v>0</v>
      </c>
      <c r="H664" s="7">
        <f>+H665+H673+H676+H682+H684+H686</f>
        <v>178500</v>
      </c>
      <c r="I664" s="7">
        <f>+I665+I673+I676+I682+I684+I686</f>
        <v>0</v>
      </c>
      <c r="J664" s="7">
        <f>+J665+J673+J676+J682+J684+J686</f>
        <v>0</v>
      </c>
      <c r="K664" s="7">
        <f>+K665+K673+K676+K682+K684+K686</f>
        <v>0</v>
      </c>
      <c r="L664" s="7"/>
      <c r="M664" s="7"/>
      <c r="N664" s="7">
        <f>+N665+N673+N676+N682+N684+N686</f>
        <v>424830</v>
      </c>
      <c r="O664" s="7">
        <f>+O665+O673+O676+O682+O684+O686</f>
        <v>0</v>
      </c>
      <c r="P664" s="7">
        <f>+P665+P673+P676+P682+P684+P686</f>
        <v>0</v>
      </c>
      <c r="Q664" s="7">
        <f>+Q665+Q673+Q676+Q682+Q684+Q686</f>
        <v>0</v>
      </c>
      <c r="R664" s="7">
        <f>+R665+R673+R676+R682+R684+R686</f>
        <v>0</v>
      </c>
      <c r="S664" s="7"/>
      <c r="T664" s="7"/>
      <c r="U664" s="7">
        <f>+U665+U673+U676+U682+U684+U686</f>
        <v>424830</v>
      </c>
      <c r="V664" s="7">
        <f>+V665+V673+V676+V682+V684+V686</f>
        <v>0</v>
      </c>
      <c r="W664" s="7"/>
      <c r="X664" s="7">
        <f>+X665+X673+X676+X682+X684+X686</f>
        <v>139700</v>
      </c>
      <c r="Y664" s="7"/>
      <c r="Z664" s="7"/>
      <c r="AA664" s="7">
        <f>+AA665+AA673+AA676+AA682+AA684+AA686</f>
        <v>0</v>
      </c>
      <c r="AB664" s="33"/>
      <c r="AC664" s="33"/>
      <c r="AD664" s="33"/>
      <c r="AE664" s="33"/>
    </row>
    <row r="665" spans="1:31" ht="24" hidden="1" x14ac:dyDescent="0.25">
      <c r="A665" s="3">
        <v>5</v>
      </c>
      <c r="B665" s="3">
        <v>5</v>
      </c>
      <c r="C665" s="3">
        <v>1</v>
      </c>
      <c r="D665" s="3"/>
      <c r="E665" s="3"/>
      <c r="F665" s="4" t="s">
        <v>35</v>
      </c>
      <c r="G665" s="4"/>
      <c r="H665" s="5"/>
      <c r="I665" s="5"/>
      <c r="J665" s="5"/>
      <c r="K665" s="5"/>
      <c r="L665" s="5"/>
      <c r="M665" s="5"/>
      <c r="N665" s="5"/>
      <c r="O665" s="4"/>
      <c r="P665" s="4"/>
      <c r="Q665" s="4"/>
      <c r="R665" s="4"/>
      <c r="S665" s="4"/>
      <c r="T665" s="4"/>
      <c r="U665" s="4"/>
      <c r="V665" s="5"/>
      <c r="W665" s="5"/>
      <c r="X665" s="4"/>
      <c r="Y665" s="5"/>
      <c r="Z665" s="5"/>
      <c r="AA665" s="5"/>
      <c r="AB665" s="33"/>
      <c r="AC665" s="33"/>
      <c r="AD665" s="33"/>
      <c r="AE665" s="33"/>
    </row>
    <row r="666" spans="1:31" ht="24" hidden="1" x14ac:dyDescent="0.25">
      <c r="A666" s="3">
        <v>5</v>
      </c>
      <c r="B666" s="3">
        <v>5</v>
      </c>
      <c r="C666" s="3">
        <v>1</v>
      </c>
      <c r="D666" s="3">
        <v>1</v>
      </c>
      <c r="E666" s="3"/>
      <c r="F666" s="3" t="s">
        <v>360</v>
      </c>
      <c r="G666" s="3"/>
      <c r="H666" s="5"/>
      <c r="I666" s="5"/>
      <c r="J666" s="5"/>
      <c r="K666" s="5"/>
      <c r="L666" s="5"/>
      <c r="M666" s="5"/>
      <c r="N666" s="5"/>
      <c r="O666" s="3"/>
      <c r="P666" s="3"/>
      <c r="Q666" s="3"/>
      <c r="R666" s="3"/>
      <c r="S666" s="3"/>
      <c r="T666" s="3"/>
      <c r="U666" s="3"/>
      <c r="V666" s="5"/>
      <c r="W666" s="5"/>
      <c r="X666" s="3"/>
      <c r="Y666" s="5"/>
      <c r="Z666" s="5"/>
      <c r="AA666" s="5"/>
      <c r="AB666" s="33"/>
      <c r="AC666" s="33"/>
      <c r="AD666" s="33"/>
      <c r="AE666" s="33"/>
    </row>
    <row r="667" spans="1:31" ht="24" hidden="1" x14ac:dyDescent="0.25">
      <c r="A667" s="3">
        <v>5</v>
      </c>
      <c r="B667" s="3">
        <v>5</v>
      </c>
      <c r="C667" s="3">
        <v>1</v>
      </c>
      <c r="D667" s="3">
        <v>2</v>
      </c>
      <c r="E667" s="3"/>
      <c r="F667" s="3" t="s">
        <v>361</v>
      </c>
      <c r="G667" s="3"/>
      <c r="H667" s="5"/>
      <c r="I667" s="5"/>
      <c r="J667" s="5"/>
      <c r="K667" s="5"/>
      <c r="L667" s="5"/>
      <c r="M667" s="5"/>
      <c r="N667" s="5"/>
      <c r="O667" s="3"/>
      <c r="P667" s="3"/>
      <c r="Q667" s="3"/>
      <c r="R667" s="3"/>
      <c r="S667" s="3"/>
      <c r="T667" s="3"/>
      <c r="U667" s="3"/>
      <c r="V667" s="5"/>
      <c r="W667" s="5"/>
      <c r="X667" s="3"/>
      <c r="Y667" s="5"/>
      <c r="Z667" s="5"/>
      <c r="AA667" s="5"/>
      <c r="AB667" s="33"/>
      <c r="AC667" s="33"/>
      <c r="AD667" s="33"/>
      <c r="AE667" s="33"/>
    </row>
    <row r="668" spans="1:31" hidden="1" x14ac:dyDescent="0.25">
      <c r="A668" s="3">
        <v>5</v>
      </c>
      <c r="B668" s="3">
        <v>5</v>
      </c>
      <c r="C668" s="3">
        <v>1</v>
      </c>
      <c r="D668" s="3">
        <v>3</v>
      </c>
      <c r="E668" s="3"/>
      <c r="F668" s="3" t="s">
        <v>362</v>
      </c>
      <c r="G668" s="3"/>
      <c r="H668" s="5"/>
      <c r="I668" s="5"/>
      <c r="J668" s="5"/>
      <c r="K668" s="5"/>
      <c r="L668" s="5"/>
      <c r="M668" s="5"/>
      <c r="N668" s="5"/>
      <c r="O668" s="3"/>
      <c r="P668" s="3"/>
      <c r="Q668" s="3"/>
      <c r="R668" s="3"/>
      <c r="S668" s="3"/>
      <c r="T668" s="3"/>
      <c r="U668" s="3"/>
      <c r="V668" s="5"/>
      <c r="W668" s="5"/>
      <c r="X668" s="3"/>
      <c r="Y668" s="5"/>
      <c r="Z668" s="5"/>
      <c r="AA668" s="5"/>
      <c r="AB668" s="33"/>
      <c r="AC668" s="33"/>
      <c r="AD668" s="33"/>
      <c r="AE668" s="33"/>
    </row>
    <row r="669" spans="1:31" hidden="1" x14ac:dyDescent="0.25">
      <c r="A669" s="3">
        <v>5</v>
      </c>
      <c r="B669" s="3">
        <v>5</v>
      </c>
      <c r="C669" s="3">
        <v>1</v>
      </c>
      <c r="D669" s="3">
        <v>4</v>
      </c>
      <c r="E669" s="3"/>
      <c r="F669" s="3" t="s">
        <v>363</v>
      </c>
      <c r="G669" s="3"/>
      <c r="H669" s="5"/>
      <c r="I669" s="5"/>
      <c r="J669" s="5"/>
      <c r="K669" s="5"/>
      <c r="L669" s="5"/>
      <c r="M669" s="5"/>
      <c r="N669" s="5"/>
      <c r="O669" s="3"/>
      <c r="P669" s="3"/>
      <c r="Q669" s="3"/>
      <c r="R669" s="3"/>
      <c r="S669" s="3"/>
      <c r="T669" s="3"/>
      <c r="U669" s="3"/>
      <c r="V669" s="5"/>
      <c r="W669" s="5"/>
      <c r="X669" s="3"/>
      <c r="Y669" s="5"/>
      <c r="Z669" s="5"/>
      <c r="AA669" s="5"/>
      <c r="AB669" s="33"/>
      <c r="AC669" s="33"/>
      <c r="AD669" s="33"/>
      <c r="AE669" s="33"/>
    </row>
    <row r="670" spans="1:31" hidden="1" x14ac:dyDescent="0.25">
      <c r="A670" s="3">
        <v>5</v>
      </c>
      <c r="B670" s="3">
        <v>5</v>
      </c>
      <c r="C670" s="3">
        <v>1</v>
      </c>
      <c r="D670" s="3">
        <v>5</v>
      </c>
      <c r="E670" s="3"/>
      <c r="F670" s="3" t="s">
        <v>364</v>
      </c>
      <c r="G670" s="3"/>
      <c r="H670" s="5"/>
      <c r="I670" s="5"/>
      <c r="J670" s="5"/>
      <c r="K670" s="5"/>
      <c r="L670" s="5"/>
      <c r="M670" s="5"/>
      <c r="N670" s="5"/>
      <c r="O670" s="3"/>
      <c r="P670" s="3"/>
      <c r="Q670" s="3"/>
      <c r="R670" s="3"/>
      <c r="S670" s="3"/>
      <c r="T670" s="3"/>
      <c r="U670" s="3"/>
      <c r="V670" s="5"/>
      <c r="W670" s="5"/>
      <c r="X670" s="3"/>
      <c r="Y670" s="5"/>
      <c r="Z670" s="5"/>
      <c r="AA670" s="5"/>
      <c r="AB670" s="33"/>
      <c r="AC670" s="33"/>
      <c r="AD670" s="33"/>
      <c r="AE670" s="33"/>
    </row>
    <row r="671" spans="1:31" hidden="1" x14ac:dyDescent="0.25">
      <c r="A671" s="3">
        <v>5</v>
      </c>
      <c r="B671" s="3">
        <v>5</v>
      </c>
      <c r="C671" s="3">
        <v>1</v>
      </c>
      <c r="D671" s="3">
        <v>6</v>
      </c>
      <c r="E671" s="3"/>
      <c r="F671" s="3" t="s">
        <v>365</v>
      </c>
      <c r="G671" s="3"/>
      <c r="H671" s="5"/>
      <c r="I671" s="5"/>
      <c r="J671" s="5"/>
      <c r="K671" s="5"/>
      <c r="L671" s="5"/>
      <c r="M671" s="5"/>
      <c r="N671" s="5"/>
      <c r="O671" s="3"/>
      <c r="P671" s="3"/>
      <c r="Q671" s="3"/>
      <c r="R671" s="3"/>
      <c r="S671" s="3"/>
      <c r="T671" s="3"/>
      <c r="U671" s="3"/>
      <c r="V671" s="5"/>
      <c r="W671" s="5"/>
      <c r="X671" s="3"/>
      <c r="Y671" s="5"/>
      <c r="Z671" s="5"/>
      <c r="AA671" s="5"/>
      <c r="AB671" s="33"/>
      <c r="AC671" s="33"/>
      <c r="AD671" s="33"/>
      <c r="AE671" s="33"/>
    </row>
    <row r="672" spans="1:31" hidden="1" x14ac:dyDescent="0.25">
      <c r="A672" s="3">
        <v>5</v>
      </c>
      <c r="B672" s="3">
        <v>5</v>
      </c>
      <c r="C672" s="3">
        <v>1</v>
      </c>
      <c r="D672" s="3">
        <v>7</v>
      </c>
      <c r="E672" s="3"/>
      <c r="F672" s="3" t="s">
        <v>366</v>
      </c>
      <c r="G672" s="3"/>
      <c r="H672" s="5"/>
      <c r="I672" s="5"/>
      <c r="J672" s="5"/>
      <c r="K672" s="5"/>
      <c r="L672" s="5"/>
      <c r="M672" s="5"/>
      <c r="N672" s="5"/>
      <c r="O672" s="3"/>
      <c r="P672" s="3"/>
      <c r="Q672" s="3"/>
      <c r="R672" s="3"/>
      <c r="S672" s="3"/>
      <c r="T672" s="3"/>
      <c r="U672" s="3"/>
      <c r="V672" s="5"/>
      <c r="W672" s="5"/>
      <c r="X672" s="3"/>
      <c r="Y672" s="5"/>
      <c r="Z672" s="5"/>
      <c r="AA672" s="5"/>
      <c r="AB672" s="33"/>
      <c r="AC672" s="33"/>
      <c r="AD672" s="33"/>
      <c r="AE672" s="33"/>
    </row>
    <row r="673" spans="1:31" hidden="1" x14ac:dyDescent="0.25">
      <c r="A673" s="3">
        <v>5</v>
      </c>
      <c r="B673" s="3">
        <v>5</v>
      </c>
      <c r="C673" s="3">
        <v>2</v>
      </c>
      <c r="D673" s="3"/>
      <c r="E673" s="3"/>
      <c r="F673" s="4" t="s">
        <v>36</v>
      </c>
      <c r="G673" s="4"/>
      <c r="H673" s="5"/>
      <c r="I673" s="5"/>
      <c r="J673" s="5"/>
      <c r="K673" s="5"/>
      <c r="L673" s="5"/>
      <c r="M673" s="5"/>
      <c r="N673" s="5"/>
      <c r="O673" s="4"/>
      <c r="P673" s="4"/>
      <c r="Q673" s="4"/>
      <c r="R673" s="4"/>
      <c r="S673" s="4"/>
      <c r="T673" s="4"/>
      <c r="U673" s="4"/>
      <c r="V673" s="5"/>
      <c r="W673" s="5"/>
      <c r="X673" s="4"/>
      <c r="Y673" s="5"/>
      <c r="Z673" s="5"/>
      <c r="AA673" s="5"/>
      <c r="AB673" s="33"/>
      <c r="AC673" s="33"/>
      <c r="AD673" s="33"/>
      <c r="AE673" s="33"/>
    </row>
    <row r="674" spans="1:31" hidden="1" x14ac:dyDescent="0.25">
      <c r="A674" s="3">
        <v>5</v>
      </c>
      <c r="B674" s="3">
        <v>5</v>
      </c>
      <c r="C674" s="3">
        <v>2</v>
      </c>
      <c r="D674" s="3">
        <v>1</v>
      </c>
      <c r="E674" s="3"/>
      <c r="F674" s="3" t="s">
        <v>367</v>
      </c>
      <c r="G674" s="3"/>
      <c r="H674" s="5"/>
      <c r="I674" s="5"/>
      <c r="J674" s="5"/>
      <c r="K674" s="5"/>
      <c r="L674" s="5"/>
      <c r="M674" s="5"/>
      <c r="N674" s="5"/>
      <c r="O674" s="3"/>
      <c r="P674" s="3"/>
      <c r="Q674" s="3"/>
      <c r="R674" s="3"/>
      <c r="S674" s="3"/>
      <c r="T674" s="3"/>
      <c r="U674" s="3"/>
      <c r="V674" s="5"/>
      <c r="W674" s="5"/>
      <c r="X674" s="3"/>
      <c r="Y674" s="5"/>
      <c r="Z674" s="5"/>
      <c r="AA674" s="5"/>
      <c r="AB674" s="33"/>
      <c r="AC674" s="33"/>
      <c r="AD674" s="33"/>
      <c r="AE674" s="33"/>
    </row>
    <row r="675" spans="1:31" hidden="1" x14ac:dyDescent="0.25">
      <c r="A675" s="3">
        <v>5</v>
      </c>
      <c r="B675" s="3">
        <v>5</v>
      </c>
      <c r="C675" s="3">
        <v>2</v>
      </c>
      <c r="D675" s="3">
        <v>2</v>
      </c>
      <c r="E675" s="3"/>
      <c r="F675" s="3" t="s">
        <v>368</v>
      </c>
      <c r="G675" s="3"/>
      <c r="H675" s="5"/>
      <c r="I675" s="5"/>
      <c r="J675" s="5"/>
      <c r="K675" s="5"/>
      <c r="L675" s="5"/>
      <c r="M675" s="5"/>
      <c r="N675" s="5"/>
      <c r="O675" s="3"/>
      <c r="P675" s="3"/>
      <c r="Q675" s="3"/>
      <c r="R675" s="3"/>
      <c r="S675" s="3"/>
      <c r="T675" s="3"/>
      <c r="U675" s="3"/>
      <c r="V675" s="5"/>
      <c r="W675" s="5"/>
      <c r="X675" s="3"/>
      <c r="Y675" s="5"/>
      <c r="Z675" s="5"/>
      <c r="AA675" s="5"/>
      <c r="AB675" s="33"/>
      <c r="AC675" s="33"/>
      <c r="AD675" s="33"/>
      <c r="AE675" s="33"/>
    </row>
    <row r="676" spans="1:31" hidden="1" x14ac:dyDescent="0.25">
      <c r="A676" s="3">
        <v>5</v>
      </c>
      <c r="B676" s="3">
        <v>5</v>
      </c>
      <c r="C676" s="3">
        <v>3</v>
      </c>
      <c r="D676" s="3"/>
      <c r="E676" s="3"/>
      <c r="F676" s="4" t="s">
        <v>37</v>
      </c>
      <c r="G676" s="4"/>
      <c r="H676" s="5"/>
      <c r="I676" s="5"/>
      <c r="J676" s="5"/>
      <c r="K676" s="5"/>
      <c r="L676" s="5"/>
      <c r="M676" s="5"/>
      <c r="N676" s="5"/>
      <c r="O676" s="4"/>
      <c r="P676" s="4"/>
      <c r="Q676" s="4"/>
      <c r="R676" s="4"/>
      <c r="S676" s="4"/>
      <c r="T676" s="4"/>
      <c r="U676" s="4"/>
      <c r="V676" s="5"/>
      <c r="W676" s="5"/>
      <c r="X676" s="4"/>
      <c r="Y676" s="5"/>
      <c r="Z676" s="5"/>
      <c r="AA676" s="5"/>
      <c r="AB676" s="33"/>
      <c r="AC676" s="33"/>
      <c r="AD676" s="33"/>
      <c r="AE676" s="33"/>
    </row>
    <row r="677" spans="1:31" ht="24" hidden="1" x14ac:dyDescent="0.25">
      <c r="A677" s="3">
        <v>5</v>
      </c>
      <c r="B677" s="3">
        <v>5</v>
      </c>
      <c r="C677" s="3">
        <v>3</v>
      </c>
      <c r="D677" s="3">
        <v>1</v>
      </c>
      <c r="E677" s="3"/>
      <c r="F677" s="3" t="s">
        <v>369</v>
      </c>
      <c r="G677" s="3"/>
      <c r="H677" s="5"/>
      <c r="I677" s="5"/>
      <c r="J677" s="5"/>
      <c r="K677" s="5"/>
      <c r="L677" s="5"/>
      <c r="M677" s="5"/>
      <c r="N677" s="5"/>
      <c r="O677" s="3"/>
      <c r="P677" s="3"/>
      <c r="Q677" s="3"/>
      <c r="R677" s="3"/>
      <c r="S677" s="3"/>
      <c r="T677" s="3"/>
      <c r="U677" s="3"/>
      <c r="V677" s="5"/>
      <c r="W677" s="5"/>
      <c r="X677" s="3"/>
      <c r="Y677" s="5"/>
      <c r="Z677" s="5"/>
      <c r="AA677" s="5"/>
      <c r="AB677" s="33"/>
      <c r="AC677" s="33"/>
      <c r="AD677" s="33"/>
      <c r="AE677" s="33"/>
    </row>
    <row r="678" spans="1:31" ht="24" hidden="1" x14ac:dyDescent="0.25">
      <c r="A678" s="3">
        <v>5</v>
      </c>
      <c r="B678" s="3">
        <v>5</v>
      </c>
      <c r="C678" s="3">
        <v>3</v>
      </c>
      <c r="D678" s="3">
        <v>2</v>
      </c>
      <c r="E678" s="3"/>
      <c r="F678" s="3" t="s">
        <v>370</v>
      </c>
      <c r="G678" s="3"/>
      <c r="H678" s="5"/>
      <c r="I678" s="5"/>
      <c r="J678" s="5"/>
      <c r="K678" s="5"/>
      <c r="L678" s="5"/>
      <c r="M678" s="5"/>
      <c r="N678" s="5"/>
      <c r="O678" s="3"/>
      <c r="P678" s="3"/>
      <c r="Q678" s="3"/>
      <c r="R678" s="3"/>
      <c r="S678" s="3"/>
      <c r="T678" s="3"/>
      <c r="U678" s="3"/>
      <c r="V678" s="5"/>
      <c r="W678" s="5"/>
      <c r="X678" s="3"/>
      <c r="Y678" s="5"/>
      <c r="Z678" s="5"/>
      <c r="AA678" s="5"/>
      <c r="AB678" s="33"/>
      <c r="AC678" s="33"/>
      <c r="AD678" s="33"/>
      <c r="AE678" s="33"/>
    </row>
    <row r="679" spans="1:31" ht="24" hidden="1" x14ac:dyDescent="0.25">
      <c r="A679" s="3">
        <v>5</v>
      </c>
      <c r="B679" s="3">
        <v>5</v>
      </c>
      <c r="C679" s="3">
        <v>3</v>
      </c>
      <c r="D679" s="3">
        <v>3</v>
      </c>
      <c r="E679" s="3"/>
      <c r="F679" s="3" t="s">
        <v>371</v>
      </c>
      <c r="G679" s="3"/>
      <c r="H679" s="5"/>
      <c r="I679" s="5"/>
      <c r="J679" s="5"/>
      <c r="K679" s="5"/>
      <c r="L679" s="5"/>
      <c r="M679" s="5"/>
      <c r="N679" s="5"/>
      <c r="O679" s="3"/>
      <c r="P679" s="3"/>
      <c r="Q679" s="3"/>
      <c r="R679" s="3"/>
      <c r="S679" s="3"/>
      <c r="T679" s="3"/>
      <c r="U679" s="3"/>
      <c r="V679" s="5"/>
      <c r="W679" s="5"/>
      <c r="X679" s="3"/>
      <c r="Y679" s="5"/>
      <c r="Z679" s="5"/>
      <c r="AA679" s="5"/>
      <c r="AB679" s="33"/>
      <c r="AC679" s="33"/>
      <c r="AD679" s="33"/>
      <c r="AE679" s="33"/>
    </row>
    <row r="680" spans="1:31" ht="24" hidden="1" x14ac:dyDescent="0.25">
      <c r="A680" s="3">
        <v>5</v>
      </c>
      <c r="B680" s="3">
        <v>5</v>
      </c>
      <c r="C680" s="3">
        <v>3</v>
      </c>
      <c r="D680" s="3">
        <v>4</v>
      </c>
      <c r="E680" s="3"/>
      <c r="F680" s="3" t="s">
        <v>372</v>
      </c>
      <c r="G680" s="3"/>
      <c r="H680" s="5"/>
      <c r="I680" s="5"/>
      <c r="J680" s="5"/>
      <c r="K680" s="5"/>
      <c r="L680" s="5"/>
      <c r="M680" s="5"/>
      <c r="N680" s="5"/>
      <c r="O680" s="3"/>
      <c r="P680" s="3"/>
      <c r="Q680" s="3"/>
      <c r="R680" s="3"/>
      <c r="S680" s="3"/>
      <c r="T680" s="3"/>
      <c r="U680" s="3"/>
      <c r="V680" s="5"/>
      <c r="W680" s="5"/>
      <c r="X680" s="3"/>
      <c r="Y680" s="5"/>
      <c r="Z680" s="5"/>
      <c r="AA680" s="5"/>
      <c r="AB680" s="33"/>
      <c r="AC680" s="33"/>
      <c r="AD680" s="33"/>
      <c r="AE680" s="33"/>
    </row>
    <row r="681" spans="1:31" ht="24" hidden="1" x14ac:dyDescent="0.25">
      <c r="A681" s="3">
        <v>5</v>
      </c>
      <c r="B681" s="3">
        <v>5</v>
      </c>
      <c r="C681" s="3">
        <v>3</v>
      </c>
      <c r="D681" s="3">
        <v>5</v>
      </c>
      <c r="E681" s="3"/>
      <c r="F681" s="3" t="s">
        <v>373</v>
      </c>
      <c r="G681" s="3"/>
      <c r="H681" s="5"/>
      <c r="I681" s="5"/>
      <c r="J681" s="5"/>
      <c r="K681" s="5"/>
      <c r="L681" s="5"/>
      <c r="M681" s="5"/>
      <c r="N681" s="5"/>
      <c r="O681" s="3"/>
      <c r="P681" s="3"/>
      <c r="Q681" s="3"/>
      <c r="R681" s="3"/>
      <c r="S681" s="3"/>
      <c r="T681" s="3"/>
      <c r="U681" s="3"/>
      <c r="V681" s="5"/>
      <c r="W681" s="5"/>
      <c r="X681" s="3"/>
      <c r="Y681" s="5"/>
      <c r="Z681" s="5"/>
      <c r="AA681" s="5"/>
      <c r="AB681" s="33"/>
      <c r="AC681" s="33"/>
      <c r="AD681" s="33"/>
      <c r="AE681" s="33"/>
    </row>
    <row r="682" spans="1:31" ht="24" hidden="1" x14ac:dyDescent="0.25">
      <c r="A682" s="3">
        <v>5</v>
      </c>
      <c r="B682" s="3">
        <v>5</v>
      </c>
      <c r="C682" s="3">
        <v>4</v>
      </c>
      <c r="D682" s="3"/>
      <c r="E682" s="3"/>
      <c r="F682" s="4" t="s">
        <v>374</v>
      </c>
      <c r="G682" s="4"/>
      <c r="H682" s="5"/>
      <c r="I682" s="5"/>
      <c r="J682" s="5"/>
      <c r="K682" s="5"/>
      <c r="L682" s="5"/>
      <c r="M682" s="5"/>
      <c r="N682" s="5"/>
      <c r="O682" s="4"/>
      <c r="P682" s="4"/>
      <c r="Q682" s="4"/>
      <c r="R682" s="4"/>
      <c r="S682" s="4"/>
      <c r="T682" s="4"/>
      <c r="U682" s="4"/>
      <c r="V682" s="5"/>
      <c r="W682" s="5"/>
      <c r="X682" s="4"/>
      <c r="Y682" s="5"/>
      <c r="Z682" s="5"/>
      <c r="AA682" s="5"/>
      <c r="AB682" s="33"/>
      <c r="AC682" s="33"/>
      <c r="AD682" s="33"/>
      <c r="AE682" s="33"/>
    </row>
    <row r="683" spans="1:31" ht="24" hidden="1" x14ac:dyDescent="0.25">
      <c r="A683" s="3">
        <v>5</v>
      </c>
      <c r="B683" s="3">
        <v>5</v>
      </c>
      <c r="C683" s="3">
        <v>4</v>
      </c>
      <c r="D683" s="3">
        <v>1</v>
      </c>
      <c r="E683" s="3"/>
      <c r="F683" s="3" t="s">
        <v>374</v>
      </c>
      <c r="G683" s="3"/>
      <c r="H683" s="5"/>
      <c r="I683" s="5"/>
      <c r="J683" s="5"/>
      <c r="K683" s="5"/>
      <c r="L683" s="5"/>
      <c r="M683" s="5"/>
      <c r="N683" s="5"/>
      <c r="O683" s="3"/>
      <c r="P683" s="3"/>
      <c r="Q683" s="3"/>
      <c r="R683" s="3"/>
      <c r="S683" s="3"/>
      <c r="T683" s="3"/>
      <c r="U683" s="3"/>
      <c r="V683" s="5"/>
      <c r="W683" s="5"/>
      <c r="X683" s="3"/>
      <c r="Y683" s="5"/>
      <c r="Z683" s="5"/>
      <c r="AA683" s="5"/>
      <c r="AB683" s="33"/>
      <c r="AC683" s="33"/>
      <c r="AD683" s="33"/>
      <c r="AE683" s="33"/>
    </row>
    <row r="684" spans="1:31" hidden="1" x14ac:dyDescent="0.25">
      <c r="A684" s="3">
        <v>5</v>
      </c>
      <c r="B684" s="3">
        <v>5</v>
      </c>
      <c r="C684" s="3">
        <v>5</v>
      </c>
      <c r="D684" s="3"/>
      <c r="E684" s="3"/>
      <c r="F684" s="4" t="s">
        <v>38</v>
      </c>
      <c r="G684" s="4"/>
      <c r="H684" s="5"/>
      <c r="I684" s="5"/>
      <c r="J684" s="5"/>
      <c r="K684" s="5"/>
      <c r="L684" s="5"/>
      <c r="M684" s="5"/>
      <c r="N684" s="5"/>
      <c r="O684" s="4"/>
      <c r="P684" s="4"/>
      <c r="Q684" s="4"/>
      <c r="R684" s="4"/>
      <c r="S684" s="4"/>
      <c r="T684" s="4"/>
      <c r="U684" s="4"/>
      <c r="V684" s="5"/>
      <c r="W684" s="5"/>
      <c r="X684" s="4"/>
      <c r="Y684" s="5"/>
      <c r="Z684" s="5"/>
      <c r="AA684" s="5"/>
      <c r="AB684" s="33"/>
      <c r="AC684" s="33"/>
      <c r="AD684" s="33"/>
      <c r="AE684" s="33"/>
    </row>
    <row r="685" spans="1:31" hidden="1" x14ac:dyDescent="0.25">
      <c r="A685" s="3">
        <v>5</v>
      </c>
      <c r="B685" s="3">
        <v>5</v>
      </c>
      <c r="C685" s="3">
        <v>5</v>
      </c>
      <c r="D685" s="3">
        <v>1</v>
      </c>
      <c r="E685" s="3"/>
      <c r="F685" s="3" t="s">
        <v>38</v>
      </c>
      <c r="G685" s="3"/>
      <c r="H685" s="5"/>
      <c r="I685" s="5"/>
      <c r="J685" s="5"/>
      <c r="K685" s="5"/>
      <c r="L685" s="5"/>
      <c r="M685" s="5"/>
      <c r="N685" s="5"/>
      <c r="O685" s="3"/>
      <c r="P685" s="3"/>
      <c r="Q685" s="3"/>
      <c r="R685" s="3"/>
      <c r="S685" s="3"/>
      <c r="T685" s="3"/>
      <c r="U685" s="3"/>
      <c r="V685" s="5"/>
      <c r="W685" s="5"/>
      <c r="X685" s="3"/>
      <c r="Y685" s="5"/>
      <c r="Z685" s="5"/>
      <c r="AA685" s="5"/>
      <c r="AB685" s="33"/>
      <c r="AC685" s="33"/>
      <c r="AD685" s="33"/>
      <c r="AE685" s="33"/>
    </row>
    <row r="686" spans="1:31" x14ac:dyDescent="0.25">
      <c r="A686" s="3">
        <v>5</v>
      </c>
      <c r="B686" s="3">
        <v>5</v>
      </c>
      <c r="C686" s="3">
        <v>9</v>
      </c>
      <c r="D686" s="3"/>
      <c r="E686" s="3"/>
      <c r="F686" s="329" t="s">
        <v>39</v>
      </c>
      <c r="G686" s="46">
        <f>SUM(G687:G694)</f>
        <v>0</v>
      </c>
      <c r="H686" s="46">
        <f>SUM(H687:H694)</f>
        <v>178500</v>
      </c>
      <c r="I686" s="46">
        <f>SUM(I687:I694)</f>
        <v>0</v>
      </c>
      <c r="J686" s="46">
        <f>SUM(J687:J694)</f>
        <v>0</v>
      </c>
      <c r="K686" s="46">
        <f>SUM(K687:K694)</f>
        <v>0</v>
      </c>
      <c r="L686" s="46"/>
      <c r="M686" s="46"/>
      <c r="N686" s="46">
        <f>SUM(N687:N694)</f>
        <v>424830</v>
      </c>
      <c r="O686" s="46">
        <f>SUM(O687:O694)</f>
        <v>0</v>
      </c>
      <c r="P686" s="46">
        <f>SUM(P687:P694)</f>
        <v>0</v>
      </c>
      <c r="Q686" s="46">
        <f>SUM(Q687:Q694)</f>
        <v>0</v>
      </c>
      <c r="R686" s="46">
        <f>SUM(R687:R694)</f>
        <v>0</v>
      </c>
      <c r="S686" s="46"/>
      <c r="T686" s="46"/>
      <c r="U686" s="46">
        <f>SUM(U687:U694)</f>
        <v>424830</v>
      </c>
      <c r="V686" s="46">
        <f>SUM(V687:V694)</f>
        <v>0</v>
      </c>
      <c r="W686" s="46"/>
      <c r="X686" s="46">
        <f>SUM(X687:X694)</f>
        <v>139700</v>
      </c>
      <c r="Y686" s="46"/>
      <c r="Z686" s="46"/>
      <c r="AA686" s="46">
        <f>SUM(AA687:AA694)</f>
        <v>0</v>
      </c>
      <c r="AB686" s="33"/>
      <c r="AC686" s="33"/>
      <c r="AD686" s="33"/>
      <c r="AE686" s="33"/>
    </row>
    <row r="687" spans="1:31" hidden="1" x14ac:dyDescent="0.25">
      <c r="A687" s="3">
        <v>5</v>
      </c>
      <c r="B687" s="3">
        <v>5</v>
      </c>
      <c r="C687" s="3">
        <v>9</v>
      </c>
      <c r="D687" s="3">
        <v>1</v>
      </c>
      <c r="E687" s="3"/>
      <c r="F687" s="3" t="s">
        <v>375</v>
      </c>
      <c r="G687" s="3"/>
      <c r="H687" s="5"/>
      <c r="I687" s="5"/>
      <c r="J687" s="5"/>
      <c r="K687" s="5"/>
      <c r="L687" s="5"/>
      <c r="M687" s="5"/>
      <c r="N687" s="5"/>
      <c r="O687" s="3"/>
      <c r="P687" s="3"/>
      <c r="Q687" s="3"/>
      <c r="R687" s="3"/>
      <c r="S687" s="3"/>
      <c r="T687" s="3"/>
      <c r="U687" s="3"/>
      <c r="V687" s="5"/>
      <c r="W687" s="5"/>
      <c r="X687" s="3"/>
      <c r="Y687" s="5"/>
      <c r="Z687" s="5"/>
      <c r="AA687" s="5"/>
      <c r="AB687" s="33"/>
      <c r="AC687" s="33"/>
      <c r="AD687" s="33"/>
      <c r="AE687" s="33"/>
    </row>
    <row r="688" spans="1:31" hidden="1" x14ac:dyDescent="0.25">
      <c r="A688" s="3">
        <v>5</v>
      </c>
      <c r="B688" s="3">
        <v>5</v>
      </c>
      <c r="C688" s="3">
        <v>9</v>
      </c>
      <c r="D688" s="3">
        <v>2</v>
      </c>
      <c r="E688" s="3"/>
      <c r="F688" s="3" t="s">
        <v>376</v>
      </c>
      <c r="G688" s="3"/>
      <c r="H688" s="5"/>
      <c r="I688" s="5"/>
      <c r="J688" s="5"/>
      <c r="K688" s="5"/>
      <c r="L688" s="5"/>
      <c r="M688" s="5"/>
      <c r="N688" s="5"/>
      <c r="O688" s="3"/>
      <c r="P688" s="3"/>
      <c r="Q688" s="3"/>
      <c r="R688" s="3"/>
      <c r="S688" s="3"/>
      <c r="T688" s="3"/>
      <c r="U688" s="3"/>
      <c r="V688" s="5"/>
      <c r="W688" s="5"/>
      <c r="X688" s="3"/>
      <c r="Y688" s="5"/>
      <c r="Z688" s="5"/>
      <c r="AA688" s="5"/>
      <c r="AB688" s="33"/>
      <c r="AC688" s="33"/>
      <c r="AD688" s="33"/>
      <c r="AE688" s="33"/>
    </row>
    <row r="689" spans="1:31" hidden="1" x14ac:dyDescent="0.25">
      <c r="A689" s="3">
        <v>5</v>
      </c>
      <c r="B689" s="3">
        <v>5</v>
      </c>
      <c r="C689" s="3">
        <v>9</v>
      </c>
      <c r="D689" s="3">
        <v>3</v>
      </c>
      <c r="E689" s="3"/>
      <c r="F689" s="3" t="s">
        <v>377</v>
      </c>
      <c r="G689" s="3"/>
      <c r="H689" s="5"/>
      <c r="I689" s="5"/>
      <c r="J689" s="5"/>
      <c r="K689" s="5"/>
      <c r="L689" s="5"/>
      <c r="M689" s="5"/>
      <c r="N689" s="5"/>
      <c r="O689" s="3"/>
      <c r="P689" s="3"/>
      <c r="Q689" s="3"/>
      <c r="R689" s="3"/>
      <c r="S689" s="3"/>
      <c r="T689" s="3"/>
      <c r="U689" s="3"/>
      <c r="V689" s="5"/>
      <c r="W689" s="5"/>
      <c r="X689" s="3"/>
      <c r="Y689" s="5"/>
      <c r="Z689" s="5"/>
      <c r="AA689" s="5"/>
      <c r="AB689" s="33"/>
      <c r="AC689" s="33"/>
      <c r="AD689" s="33"/>
      <c r="AE689" s="33"/>
    </row>
    <row r="690" spans="1:31" ht="24" hidden="1" x14ac:dyDescent="0.25">
      <c r="A690" s="3">
        <v>5</v>
      </c>
      <c r="B690" s="3">
        <v>5</v>
      </c>
      <c r="C690" s="3">
        <v>9</v>
      </c>
      <c r="D690" s="3">
        <v>4</v>
      </c>
      <c r="E690" s="3"/>
      <c r="F690" s="3" t="s">
        <v>378</v>
      </c>
      <c r="G690" s="3"/>
      <c r="H690" s="5"/>
      <c r="I690" s="5"/>
      <c r="J690" s="5"/>
      <c r="K690" s="5"/>
      <c r="L690" s="5"/>
      <c r="M690" s="5"/>
      <c r="N690" s="5"/>
      <c r="O690" s="3"/>
      <c r="P690" s="3"/>
      <c r="Q690" s="3"/>
      <c r="R690" s="3"/>
      <c r="S690" s="3"/>
      <c r="T690" s="3"/>
      <c r="U690" s="3"/>
      <c r="V690" s="5"/>
      <c r="W690" s="5"/>
      <c r="X690" s="3"/>
      <c r="Y690" s="5"/>
      <c r="Z690" s="5"/>
      <c r="AA690" s="5"/>
      <c r="AB690" s="33"/>
      <c r="AC690" s="33"/>
      <c r="AD690" s="33"/>
      <c r="AE690" s="33"/>
    </row>
    <row r="691" spans="1:31" ht="24" hidden="1" x14ac:dyDescent="0.25">
      <c r="A691" s="3">
        <v>5</v>
      </c>
      <c r="B691" s="3">
        <v>5</v>
      </c>
      <c r="C691" s="3">
        <v>9</v>
      </c>
      <c r="D691" s="3">
        <v>5</v>
      </c>
      <c r="E691" s="3"/>
      <c r="F691" s="3" t="s">
        <v>379</v>
      </c>
      <c r="G691" s="3"/>
      <c r="H691" s="5"/>
      <c r="I691" s="5"/>
      <c r="J691" s="5"/>
      <c r="K691" s="5"/>
      <c r="L691" s="5"/>
      <c r="M691" s="5"/>
      <c r="N691" s="5"/>
      <c r="O691" s="3"/>
      <c r="P691" s="3"/>
      <c r="Q691" s="3"/>
      <c r="R691" s="3"/>
      <c r="S691" s="3"/>
      <c r="T691" s="3"/>
      <c r="U691" s="3"/>
      <c r="V691" s="5"/>
      <c r="W691" s="5"/>
      <c r="X691" s="3"/>
      <c r="Y691" s="5"/>
      <c r="Z691" s="5"/>
      <c r="AA691" s="5"/>
      <c r="AB691" s="33"/>
      <c r="AC691" s="33"/>
      <c r="AD691" s="33"/>
      <c r="AE691" s="33"/>
    </row>
    <row r="692" spans="1:31" hidden="1" x14ac:dyDescent="0.25">
      <c r="A692" s="3">
        <v>5</v>
      </c>
      <c r="B692" s="3">
        <v>5</v>
      </c>
      <c r="C692" s="3">
        <v>9</v>
      </c>
      <c r="D692" s="3">
        <v>6</v>
      </c>
      <c r="E692" s="3"/>
      <c r="F692" s="3" t="s">
        <v>75</v>
      </c>
      <c r="G692" s="3"/>
      <c r="H692" s="5"/>
      <c r="I692" s="5"/>
      <c r="J692" s="5"/>
      <c r="K692" s="5"/>
      <c r="L692" s="5"/>
      <c r="M692" s="5"/>
      <c r="N692" s="5"/>
      <c r="O692" s="3"/>
      <c r="P692" s="3"/>
      <c r="Q692" s="3"/>
      <c r="R692" s="3"/>
      <c r="S692" s="3"/>
      <c r="T692" s="3"/>
      <c r="U692" s="3"/>
      <c r="V692" s="5"/>
      <c r="W692" s="5"/>
      <c r="X692" s="3"/>
      <c r="Y692" s="5"/>
      <c r="Z692" s="5"/>
      <c r="AA692" s="5"/>
      <c r="AB692" s="33"/>
      <c r="AC692" s="33"/>
      <c r="AD692" s="33"/>
      <c r="AE692" s="33"/>
    </row>
    <row r="693" spans="1:31" hidden="1" x14ac:dyDescent="0.25">
      <c r="A693" s="3">
        <v>5</v>
      </c>
      <c r="B693" s="3">
        <v>5</v>
      </c>
      <c r="C693" s="3">
        <v>9</v>
      </c>
      <c r="D693" s="3">
        <v>7</v>
      </c>
      <c r="E693" s="3"/>
      <c r="F693" s="3" t="s">
        <v>380</v>
      </c>
      <c r="G693" s="3"/>
      <c r="H693" s="5"/>
      <c r="I693" s="5"/>
      <c r="J693" s="5"/>
      <c r="K693" s="5"/>
      <c r="L693" s="5"/>
      <c r="M693" s="5"/>
      <c r="N693" s="5"/>
      <c r="O693" s="3"/>
      <c r="P693" s="3"/>
      <c r="Q693" s="3"/>
      <c r="R693" s="3"/>
      <c r="S693" s="3"/>
      <c r="T693" s="3"/>
      <c r="U693" s="3"/>
      <c r="V693" s="5"/>
      <c r="W693" s="5"/>
      <c r="X693" s="3"/>
      <c r="Y693" s="5"/>
      <c r="Z693" s="5"/>
      <c r="AA693" s="5"/>
      <c r="AB693" s="33"/>
      <c r="AC693" s="33"/>
      <c r="AD693" s="33"/>
      <c r="AE693" s="33"/>
    </row>
    <row r="694" spans="1:31" x14ac:dyDescent="0.25">
      <c r="A694" s="3">
        <v>5</v>
      </c>
      <c r="B694" s="3">
        <v>5</v>
      </c>
      <c r="C694" s="3">
        <v>9</v>
      </c>
      <c r="D694" s="3">
        <v>9</v>
      </c>
      <c r="E694" s="3"/>
      <c r="F694" s="3" t="s">
        <v>381</v>
      </c>
      <c r="G694" s="5">
        <f>SUM(G695:G698)</f>
        <v>0</v>
      </c>
      <c r="H694" s="5">
        <f>SUM(H695:H698)</f>
        <v>178500</v>
      </c>
      <c r="I694" s="5">
        <f>SUM(I695:I698)</f>
        <v>0</v>
      </c>
      <c r="J694" s="5">
        <f>SUM(J695:J698)</f>
        <v>0</v>
      </c>
      <c r="K694" s="5">
        <f>SUM(K695:K698)</f>
        <v>0</v>
      </c>
      <c r="L694" s="5">
        <f t="shared" ref="L694:V694" si="106">SUM(L695:L698)</f>
        <v>246330</v>
      </c>
      <c r="M694" s="5">
        <f t="shared" si="106"/>
        <v>0</v>
      </c>
      <c r="N694" s="5">
        <f t="shared" si="106"/>
        <v>424830</v>
      </c>
      <c r="O694" s="5">
        <f>SUM(O695:O698)</f>
        <v>0</v>
      </c>
      <c r="P694" s="5">
        <f>SUM(P695:P698)</f>
        <v>0</v>
      </c>
      <c r="Q694" s="5">
        <f>SUM(Q695:Q698)</f>
        <v>0</v>
      </c>
      <c r="R694" s="5">
        <f>SUM(R695:R698)</f>
        <v>0</v>
      </c>
      <c r="S694" s="5"/>
      <c r="T694" s="5"/>
      <c r="U694" s="5">
        <f t="shared" si="106"/>
        <v>424830</v>
      </c>
      <c r="V694" s="5">
        <f t="shared" si="106"/>
        <v>0</v>
      </c>
      <c r="W694" s="5"/>
      <c r="X694" s="5">
        <f>SUM(X695:X698)</f>
        <v>139700</v>
      </c>
      <c r="Y694" s="5"/>
      <c r="Z694" s="5"/>
      <c r="AA694" s="5">
        <f>SUM(AA695:AA698)</f>
        <v>0</v>
      </c>
      <c r="AB694" s="33"/>
      <c r="AC694" s="33"/>
      <c r="AD694" s="33"/>
      <c r="AE694" s="33"/>
    </row>
    <row r="695" spans="1:31" x14ac:dyDescent="0.25">
      <c r="A695" s="3"/>
      <c r="B695" s="3"/>
      <c r="C695" s="3"/>
      <c r="D695" s="3"/>
      <c r="E695" s="3"/>
      <c r="F695" s="3" t="s">
        <v>656</v>
      </c>
      <c r="G695" s="16">
        <v>0</v>
      </c>
      <c r="H695" s="5">
        <v>0</v>
      </c>
      <c r="I695" s="5">
        <v>0</v>
      </c>
      <c r="J695" s="5">
        <v>0</v>
      </c>
      <c r="K695" s="5">
        <v>0</v>
      </c>
      <c r="L695" s="5"/>
      <c r="M695" s="5"/>
      <c r="N695" s="5">
        <f>SUM(H695:L695)</f>
        <v>0</v>
      </c>
      <c r="O695" s="3"/>
      <c r="P695" s="3"/>
      <c r="Q695" s="3"/>
      <c r="R695" s="3"/>
      <c r="S695" s="3"/>
      <c r="T695" s="3"/>
      <c r="U695" s="3"/>
      <c r="V695" s="5">
        <f>+G695+N695-U695</f>
        <v>0</v>
      </c>
      <c r="W695" s="5"/>
      <c r="X695" s="16">
        <v>0</v>
      </c>
      <c r="Y695" s="5"/>
      <c r="Z695" s="5"/>
      <c r="AA695" s="5">
        <f>+X695+Y695-Z695</f>
        <v>0</v>
      </c>
      <c r="AB695" s="33"/>
      <c r="AC695" s="33"/>
      <c r="AD695" s="33"/>
      <c r="AE695" s="33"/>
    </row>
    <row r="696" spans="1:31" ht="24" x14ac:dyDescent="0.25">
      <c r="A696" s="3"/>
      <c r="B696" s="3"/>
      <c r="C696" s="3"/>
      <c r="D696" s="3"/>
      <c r="E696" s="3"/>
      <c r="F696" s="3" t="s">
        <v>657</v>
      </c>
      <c r="G696" s="16">
        <v>0</v>
      </c>
      <c r="H696" s="5">
        <v>0</v>
      </c>
      <c r="I696" s="5">
        <v>0</v>
      </c>
      <c r="J696" s="5">
        <v>0</v>
      </c>
      <c r="K696" s="5">
        <v>0</v>
      </c>
      <c r="L696" s="5">
        <v>17430</v>
      </c>
      <c r="M696" s="5"/>
      <c r="N696" s="5">
        <f>SUM(H696:M696)</f>
        <v>17430</v>
      </c>
      <c r="O696" s="3"/>
      <c r="P696" s="3"/>
      <c r="Q696" s="3"/>
      <c r="R696" s="3"/>
      <c r="S696" s="3"/>
      <c r="T696" s="16">
        <v>17430</v>
      </c>
      <c r="U696" s="16">
        <v>17430</v>
      </c>
      <c r="V696" s="5">
        <f>+G696+N696-U696</f>
        <v>0</v>
      </c>
      <c r="W696" s="5"/>
      <c r="X696" s="16">
        <v>0</v>
      </c>
      <c r="Y696" s="5"/>
      <c r="Z696" s="5"/>
      <c r="AA696" s="5">
        <f>+X696+Y696-Z696</f>
        <v>0</v>
      </c>
      <c r="AB696" s="33"/>
      <c r="AC696" s="33"/>
      <c r="AD696" s="33"/>
      <c r="AE696" s="33"/>
    </row>
    <row r="697" spans="1:31" x14ac:dyDescent="0.25">
      <c r="A697" s="3"/>
      <c r="B697" s="3"/>
      <c r="C697" s="3"/>
      <c r="D697" s="3"/>
      <c r="E697" s="3"/>
      <c r="F697" s="3" t="s">
        <v>139</v>
      </c>
      <c r="G697" s="16">
        <v>0</v>
      </c>
      <c r="H697" s="5">
        <v>0</v>
      </c>
      <c r="I697" s="5">
        <v>0</v>
      </c>
      <c r="J697" s="5">
        <v>0</v>
      </c>
      <c r="K697" s="5">
        <v>0</v>
      </c>
      <c r="L697" s="5"/>
      <c r="M697" s="5"/>
      <c r="N697" s="5">
        <f>SUM(H697:L697)</f>
        <v>0</v>
      </c>
      <c r="O697" s="3"/>
      <c r="P697" s="3"/>
      <c r="Q697" s="3"/>
      <c r="R697" s="3"/>
      <c r="S697" s="3"/>
      <c r="T697" s="16"/>
      <c r="U697" s="16"/>
      <c r="V697" s="5">
        <f>+G697+N697-U697</f>
        <v>0</v>
      </c>
      <c r="W697" s="5"/>
      <c r="X697" s="16">
        <v>0</v>
      </c>
      <c r="Y697" s="5"/>
      <c r="Z697" s="5"/>
      <c r="AA697" s="5">
        <f>+X697+Y697-Z697</f>
        <v>0</v>
      </c>
      <c r="AB697" s="33"/>
      <c r="AC697" s="33"/>
      <c r="AD697" s="33"/>
      <c r="AE697" s="33"/>
    </row>
    <row r="698" spans="1:31" x14ac:dyDescent="0.25">
      <c r="A698" s="3"/>
      <c r="B698" s="3"/>
      <c r="C698" s="3"/>
      <c r="D698" s="3"/>
      <c r="E698" s="3"/>
      <c r="F698" s="3" t="s">
        <v>675</v>
      </c>
      <c r="G698" s="16">
        <v>0</v>
      </c>
      <c r="H698" s="5">
        <v>178500</v>
      </c>
      <c r="I698" s="5"/>
      <c r="J698" s="5"/>
      <c r="K698" s="5"/>
      <c r="L698" s="5">
        <v>228900</v>
      </c>
      <c r="M698" s="5"/>
      <c r="N698" s="5">
        <f>SUM(H698:M698)</f>
        <v>407400</v>
      </c>
      <c r="O698" s="3">
        <v>0</v>
      </c>
      <c r="P698" s="3">
        <v>0</v>
      </c>
      <c r="Q698" s="3">
        <v>0</v>
      </c>
      <c r="R698" s="3">
        <v>0</v>
      </c>
      <c r="S698" s="3"/>
      <c r="T698" s="16">
        <v>407400</v>
      </c>
      <c r="U698" s="16">
        <v>407400</v>
      </c>
      <c r="V698" s="5">
        <f>+G698+N698-U698</f>
        <v>0</v>
      </c>
      <c r="W698" s="5"/>
      <c r="X698" s="16">
        <v>139700</v>
      </c>
      <c r="Y698" s="5"/>
      <c r="Z698" s="5"/>
      <c r="AA698" s="5">
        <v>0</v>
      </c>
      <c r="AB698" s="33"/>
      <c r="AC698" s="33"/>
      <c r="AD698" s="33"/>
      <c r="AE698" s="33"/>
    </row>
    <row r="699" spans="1:31" x14ac:dyDescent="0.25">
      <c r="A699" s="1">
        <v>6</v>
      </c>
      <c r="B699" s="1"/>
      <c r="C699" s="1"/>
      <c r="D699" s="1"/>
      <c r="E699" s="1"/>
      <c r="F699" s="1" t="s">
        <v>382</v>
      </c>
      <c r="G699" s="1">
        <v>0</v>
      </c>
      <c r="H699" s="5"/>
      <c r="I699" s="5"/>
      <c r="J699" s="5"/>
      <c r="K699" s="5"/>
      <c r="L699" s="5"/>
      <c r="M699" s="5"/>
      <c r="N699" s="5"/>
      <c r="O699" s="1"/>
      <c r="P699" s="1"/>
      <c r="Q699" s="1"/>
      <c r="R699" s="1"/>
      <c r="S699" s="1"/>
      <c r="T699" s="1"/>
      <c r="U699" s="1"/>
      <c r="V699" s="5"/>
      <c r="W699" s="5"/>
      <c r="X699" s="1">
        <v>0</v>
      </c>
      <c r="Y699" s="5"/>
      <c r="Z699" s="5"/>
      <c r="AA699" s="5"/>
      <c r="AB699" s="33"/>
      <c r="AC699" s="33"/>
      <c r="AD699" s="33"/>
      <c r="AE699" s="33"/>
    </row>
    <row r="700" spans="1:31" hidden="1" x14ac:dyDescent="0.25">
      <c r="A700" s="2">
        <v>6</v>
      </c>
      <c r="B700" s="2">
        <v>1</v>
      </c>
      <c r="C700" s="2"/>
      <c r="D700" s="2"/>
      <c r="E700" s="2"/>
      <c r="F700" s="2" t="s">
        <v>383</v>
      </c>
      <c r="G700" s="2"/>
      <c r="H700" s="5"/>
      <c r="I700" s="5"/>
      <c r="J700" s="5"/>
      <c r="K700" s="5"/>
      <c r="L700" s="5"/>
      <c r="M700" s="5"/>
      <c r="N700" s="5"/>
      <c r="O700" s="2"/>
      <c r="P700" s="2"/>
      <c r="Q700" s="2"/>
      <c r="R700" s="2"/>
      <c r="S700" s="2"/>
      <c r="T700" s="2"/>
      <c r="U700" s="2"/>
      <c r="V700" s="5"/>
      <c r="W700" s="5"/>
      <c r="X700" s="2"/>
      <c r="Y700" s="5"/>
      <c r="Z700" s="5"/>
      <c r="AA700" s="5"/>
      <c r="AB700" s="33"/>
      <c r="AC700" s="33"/>
      <c r="AD700" s="33"/>
      <c r="AE700" s="33"/>
    </row>
    <row r="701" spans="1:31" hidden="1" x14ac:dyDescent="0.25">
      <c r="A701" s="2">
        <v>6</v>
      </c>
      <c r="B701" s="2">
        <v>2</v>
      </c>
      <c r="C701" s="2"/>
      <c r="D701" s="2"/>
      <c r="E701" s="2"/>
      <c r="F701" s="2" t="s">
        <v>384</v>
      </c>
      <c r="G701" s="2"/>
      <c r="H701" s="5"/>
      <c r="I701" s="5"/>
      <c r="J701" s="5"/>
      <c r="K701" s="5"/>
      <c r="L701" s="5"/>
      <c r="M701" s="5"/>
      <c r="N701" s="5"/>
      <c r="O701" s="2"/>
      <c r="P701" s="2"/>
      <c r="Q701" s="2"/>
      <c r="R701" s="2"/>
      <c r="S701" s="2"/>
      <c r="T701" s="2"/>
      <c r="U701" s="2"/>
      <c r="V701" s="5"/>
      <c r="W701" s="5"/>
      <c r="X701" s="2"/>
      <c r="Y701" s="5"/>
      <c r="Z701" s="5"/>
      <c r="AA701" s="5"/>
      <c r="AB701" s="33"/>
      <c r="AC701" s="33"/>
      <c r="AD701" s="33"/>
      <c r="AE701" s="33"/>
    </row>
    <row r="702" spans="1:31" hidden="1" x14ac:dyDescent="0.25">
      <c r="A702" s="2">
        <v>6</v>
      </c>
      <c r="B702" s="2">
        <v>3</v>
      </c>
      <c r="C702" s="2"/>
      <c r="D702" s="2"/>
      <c r="E702" s="2"/>
      <c r="F702" s="2" t="s">
        <v>385</v>
      </c>
      <c r="G702" s="2"/>
      <c r="H702" s="5"/>
      <c r="I702" s="5"/>
      <c r="J702" s="5"/>
      <c r="K702" s="5"/>
      <c r="L702" s="5"/>
      <c r="M702" s="5"/>
      <c r="N702" s="5"/>
      <c r="O702" s="2"/>
      <c r="P702" s="2"/>
      <c r="Q702" s="2"/>
      <c r="R702" s="2"/>
      <c r="S702" s="2"/>
      <c r="T702" s="2"/>
      <c r="U702" s="2"/>
      <c r="V702" s="5"/>
      <c r="W702" s="5"/>
      <c r="X702" s="2"/>
      <c r="Y702" s="5"/>
      <c r="Z702" s="5"/>
      <c r="AA702" s="5"/>
      <c r="AB702" s="33"/>
      <c r="AC702" s="33"/>
      <c r="AD702" s="33"/>
      <c r="AE702" s="33"/>
    </row>
    <row r="703" spans="1:31" hidden="1" x14ac:dyDescent="0.25">
      <c r="A703" s="41">
        <v>7</v>
      </c>
      <c r="B703" s="41"/>
      <c r="C703" s="41"/>
      <c r="D703" s="41"/>
      <c r="E703" s="41"/>
      <c r="F703" s="1" t="s">
        <v>386</v>
      </c>
      <c r="G703" s="1"/>
      <c r="H703" s="5"/>
      <c r="I703" s="5"/>
      <c r="J703" s="5"/>
      <c r="K703" s="5"/>
      <c r="L703" s="5"/>
      <c r="M703" s="5"/>
      <c r="N703" s="5"/>
      <c r="O703" s="1"/>
      <c r="P703" s="1"/>
      <c r="Q703" s="1"/>
      <c r="R703" s="1"/>
      <c r="S703" s="1"/>
      <c r="T703" s="1"/>
      <c r="U703" s="1"/>
      <c r="V703" s="5"/>
      <c r="W703" s="5"/>
      <c r="X703" s="1"/>
      <c r="Y703" s="5"/>
      <c r="Z703" s="5"/>
      <c r="AA703" s="5"/>
      <c r="AB703" s="33"/>
      <c r="AC703" s="33"/>
      <c r="AD703" s="33"/>
      <c r="AE703" s="33"/>
    </row>
    <row r="704" spans="1:31" hidden="1" x14ac:dyDescent="0.25">
      <c r="A704" s="2">
        <v>7</v>
      </c>
      <c r="B704" s="2">
        <v>1</v>
      </c>
      <c r="C704" s="2"/>
      <c r="D704" s="2"/>
      <c r="E704" s="2"/>
      <c r="F704" s="2" t="s">
        <v>387</v>
      </c>
      <c r="G704" s="2"/>
      <c r="H704" s="5"/>
      <c r="I704" s="5"/>
      <c r="J704" s="5"/>
      <c r="K704" s="5"/>
      <c r="L704" s="5"/>
      <c r="M704" s="5"/>
      <c r="N704" s="5"/>
      <c r="O704" s="2"/>
      <c r="P704" s="2"/>
      <c r="Q704" s="2"/>
      <c r="R704" s="2"/>
      <c r="S704" s="2"/>
      <c r="T704" s="2"/>
      <c r="U704" s="2"/>
      <c r="V704" s="5"/>
      <c r="W704" s="5"/>
      <c r="X704" s="2"/>
      <c r="Y704" s="5"/>
      <c r="Z704" s="5"/>
      <c r="AA704" s="5"/>
      <c r="AB704" s="33"/>
      <c r="AC704" s="33"/>
      <c r="AD704" s="33"/>
      <c r="AE704" s="33"/>
    </row>
    <row r="705" spans="1:31" hidden="1" x14ac:dyDescent="0.25">
      <c r="A705" s="3">
        <v>7</v>
      </c>
      <c r="B705" s="3">
        <v>1</v>
      </c>
      <c r="C705" s="3">
        <v>1</v>
      </c>
      <c r="D705" s="3"/>
      <c r="E705" s="3"/>
      <c r="F705" s="4" t="s">
        <v>388</v>
      </c>
      <c r="G705" s="4"/>
      <c r="H705" s="5"/>
      <c r="I705" s="5"/>
      <c r="J705" s="5"/>
      <c r="K705" s="5"/>
      <c r="L705" s="5"/>
      <c r="M705" s="5"/>
      <c r="N705" s="5"/>
      <c r="O705" s="4"/>
      <c r="P705" s="4"/>
      <c r="Q705" s="4"/>
      <c r="R705" s="4"/>
      <c r="S705" s="4"/>
      <c r="T705" s="4"/>
      <c r="U705" s="4"/>
      <c r="V705" s="5"/>
      <c r="W705" s="5"/>
      <c r="X705" s="4"/>
      <c r="Y705" s="5"/>
      <c r="Z705" s="5"/>
      <c r="AA705" s="5"/>
      <c r="AB705" s="33"/>
      <c r="AC705" s="33"/>
      <c r="AD705" s="33"/>
      <c r="AE705" s="33"/>
    </row>
    <row r="706" spans="1:31" hidden="1" x14ac:dyDescent="0.25">
      <c r="A706" s="3">
        <v>7</v>
      </c>
      <c r="B706" s="3">
        <v>1</v>
      </c>
      <c r="C706" s="3">
        <v>2</v>
      </c>
      <c r="D706" s="3"/>
      <c r="E706" s="3"/>
      <c r="F706" s="4" t="s">
        <v>389</v>
      </c>
      <c r="G706" s="4"/>
      <c r="H706" s="5"/>
      <c r="I706" s="5"/>
      <c r="J706" s="5"/>
      <c r="K706" s="5"/>
      <c r="L706" s="5"/>
      <c r="M706" s="5"/>
      <c r="N706" s="5"/>
      <c r="O706" s="4"/>
      <c r="P706" s="4"/>
      <c r="Q706" s="4"/>
      <c r="R706" s="4"/>
      <c r="S706" s="4"/>
      <c r="T706" s="4"/>
      <c r="U706" s="4"/>
      <c r="V706" s="5"/>
      <c r="W706" s="5"/>
      <c r="X706" s="4"/>
      <c r="Y706" s="5"/>
      <c r="Z706" s="5"/>
      <c r="AA706" s="5"/>
      <c r="AB706" s="33"/>
      <c r="AC706" s="33"/>
      <c r="AD706" s="33"/>
      <c r="AE706" s="33"/>
    </row>
    <row r="707" spans="1:31" ht="24" hidden="1" x14ac:dyDescent="0.25">
      <c r="A707" s="3">
        <v>7</v>
      </c>
      <c r="B707" s="3">
        <v>1</v>
      </c>
      <c r="C707" s="3">
        <v>3</v>
      </c>
      <c r="D707" s="3"/>
      <c r="E707" s="3"/>
      <c r="F707" s="4" t="s">
        <v>390</v>
      </c>
      <c r="G707" s="4"/>
      <c r="H707" s="5"/>
      <c r="I707" s="5"/>
      <c r="J707" s="5"/>
      <c r="K707" s="5"/>
      <c r="L707" s="5"/>
      <c r="M707" s="5"/>
      <c r="N707" s="5"/>
      <c r="O707" s="4"/>
      <c r="P707" s="4"/>
      <c r="Q707" s="4"/>
      <c r="R707" s="4"/>
      <c r="S707" s="4"/>
      <c r="T707" s="4"/>
      <c r="U707" s="4"/>
      <c r="V707" s="5"/>
      <c r="W707" s="5"/>
      <c r="X707" s="4"/>
      <c r="Y707" s="5"/>
      <c r="Z707" s="5"/>
      <c r="AA707" s="5"/>
      <c r="AB707" s="33"/>
      <c r="AC707" s="33"/>
      <c r="AD707" s="33"/>
      <c r="AE707" s="33"/>
    </row>
    <row r="708" spans="1:31" ht="24" hidden="1" x14ac:dyDescent="0.25">
      <c r="A708" s="3">
        <v>7</v>
      </c>
      <c r="B708" s="3">
        <v>1</v>
      </c>
      <c r="C708" s="3">
        <v>4</v>
      </c>
      <c r="D708" s="3"/>
      <c r="E708" s="3"/>
      <c r="F708" s="4" t="s">
        <v>391</v>
      </c>
      <c r="G708" s="4"/>
      <c r="H708" s="5"/>
      <c r="I708" s="5"/>
      <c r="J708" s="5"/>
      <c r="K708" s="5"/>
      <c r="L708" s="5"/>
      <c r="M708" s="5"/>
      <c r="N708" s="5"/>
      <c r="O708" s="4"/>
      <c r="P708" s="4"/>
      <c r="Q708" s="4"/>
      <c r="R708" s="4"/>
      <c r="S708" s="4"/>
      <c r="T708" s="4"/>
      <c r="U708" s="4"/>
      <c r="V708" s="5"/>
      <c r="W708" s="5"/>
      <c r="X708" s="4"/>
      <c r="Y708" s="5"/>
      <c r="Z708" s="5"/>
      <c r="AA708" s="5"/>
      <c r="AB708" s="33"/>
      <c r="AC708" s="33"/>
      <c r="AD708" s="33"/>
      <c r="AE708" s="33"/>
    </row>
    <row r="709" spans="1:31" ht="24" hidden="1" x14ac:dyDescent="0.25">
      <c r="A709" s="3">
        <v>7</v>
      </c>
      <c r="B709" s="3">
        <v>1</v>
      </c>
      <c r="C709" s="3">
        <v>5</v>
      </c>
      <c r="D709" s="3"/>
      <c r="E709" s="3"/>
      <c r="F709" s="4" t="s">
        <v>392</v>
      </c>
      <c r="G709" s="4"/>
      <c r="H709" s="5"/>
      <c r="I709" s="5"/>
      <c r="J709" s="5"/>
      <c r="K709" s="5"/>
      <c r="L709" s="5"/>
      <c r="M709" s="5"/>
      <c r="N709" s="5"/>
      <c r="O709" s="4"/>
      <c r="P709" s="4"/>
      <c r="Q709" s="4"/>
      <c r="R709" s="4"/>
      <c r="S709" s="4"/>
      <c r="T709" s="4"/>
      <c r="U709" s="4"/>
      <c r="V709" s="5"/>
      <c r="W709" s="5"/>
      <c r="X709" s="4"/>
      <c r="Y709" s="5"/>
      <c r="Z709" s="5"/>
      <c r="AA709" s="5"/>
      <c r="AB709" s="33"/>
      <c r="AC709" s="33"/>
      <c r="AD709" s="33"/>
      <c r="AE709" s="33"/>
    </row>
    <row r="710" spans="1:31" ht="24" hidden="1" x14ac:dyDescent="0.25">
      <c r="A710" s="3">
        <v>7</v>
      </c>
      <c r="B710" s="3">
        <v>1</v>
      </c>
      <c r="C710" s="3">
        <v>6</v>
      </c>
      <c r="D710" s="3"/>
      <c r="E710" s="3"/>
      <c r="F710" s="4" t="s">
        <v>393</v>
      </c>
      <c r="G710" s="4"/>
      <c r="H710" s="5"/>
      <c r="I710" s="5"/>
      <c r="J710" s="5"/>
      <c r="K710" s="5"/>
      <c r="L710" s="5"/>
      <c r="M710" s="5"/>
      <c r="N710" s="5"/>
      <c r="O710" s="4"/>
      <c r="P710" s="4"/>
      <c r="Q710" s="4"/>
      <c r="R710" s="4"/>
      <c r="S710" s="4"/>
      <c r="T710" s="4"/>
      <c r="U710" s="4"/>
      <c r="V710" s="5"/>
      <c r="W710" s="5"/>
      <c r="X710" s="4"/>
      <c r="Y710" s="5"/>
      <c r="Z710" s="5"/>
      <c r="AA710" s="5"/>
      <c r="AB710" s="33"/>
      <c r="AC710" s="33"/>
      <c r="AD710" s="33"/>
      <c r="AE710" s="33"/>
    </row>
    <row r="711" spans="1:31" hidden="1" x14ac:dyDescent="0.25">
      <c r="A711" s="2">
        <v>7</v>
      </c>
      <c r="B711" s="2">
        <v>2</v>
      </c>
      <c r="C711" s="2"/>
      <c r="D711" s="2"/>
      <c r="E711" s="2"/>
      <c r="F711" s="2" t="s">
        <v>394</v>
      </c>
      <c r="G711" s="2"/>
      <c r="H711" s="5"/>
      <c r="I711" s="5"/>
      <c r="J711" s="5"/>
      <c r="K711" s="5"/>
      <c r="L711" s="5"/>
      <c r="M711" s="5"/>
      <c r="N711" s="5"/>
      <c r="O711" s="2"/>
      <c r="P711" s="2"/>
      <c r="Q711" s="2"/>
      <c r="R711" s="2"/>
      <c r="S711" s="2"/>
      <c r="T711" s="2"/>
      <c r="U711" s="2"/>
      <c r="V711" s="5"/>
      <c r="W711" s="5"/>
      <c r="X711" s="2"/>
      <c r="Y711" s="5"/>
      <c r="Z711" s="5"/>
      <c r="AA711" s="5"/>
      <c r="AB711" s="33"/>
      <c r="AC711" s="33"/>
      <c r="AD711" s="33"/>
      <c r="AE711" s="33"/>
    </row>
    <row r="712" spans="1:31" ht="24" hidden="1" x14ac:dyDescent="0.25">
      <c r="A712" s="3">
        <v>7</v>
      </c>
      <c r="B712" s="3">
        <v>2</v>
      </c>
      <c r="C712" s="3">
        <v>1</v>
      </c>
      <c r="D712" s="3"/>
      <c r="E712" s="3"/>
      <c r="F712" s="4" t="s">
        <v>395</v>
      </c>
      <c r="G712" s="4"/>
      <c r="H712" s="5"/>
      <c r="I712" s="5"/>
      <c r="J712" s="5"/>
      <c r="K712" s="5"/>
      <c r="L712" s="5"/>
      <c r="M712" s="5"/>
      <c r="N712" s="5"/>
      <c r="O712" s="4"/>
      <c r="P712" s="4"/>
      <c r="Q712" s="4"/>
      <c r="R712" s="4"/>
      <c r="S712" s="4"/>
      <c r="T712" s="4"/>
      <c r="U712" s="4"/>
      <c r="V712" s="5"/>
      <c r="W712" s="5"/>
      <c r="X712" s="4"/>
      <c r="Y712" s="5"/>
      <c r="Z712" s="5"/>
      <c r="AA712" s="5"/>
      <c r="AB712" s="33"/>
      <c r="AC712" s="33"/>
      <c r="AD712" s="33"/>
      <c r="AE712" s="33"/>
    </row>
    <row r="713" spans="1:31" ht="24" hidden="1" x14ac:dyDescent="0.25">
      <c r="A713" s="3">
        <v>7</v>
      </c>
      <c r="B713" s="3">
        <v>2</v>
      </c>
      <c r="C713" s="3">
        <v>2</v>
      </c>
      <c r="D713" s="3"/>
      <c r="E713" s="3"/>
      <c r="F713" s="4" t="s">
        <v>396</v>
      </c>
      <c r="G713" s="4"/>
      <c r="H713" s="5"/>
      <c r="I713" s="5"/>
      <c r="J713" s="5"/>
      <c r="K713" s="5"/>
      <c r="L713" s="5"/>
      <c r="M713" s="5"/>
      <c r="N713" s="5"/>
      <c r="O713" s="4"/>
      <c r="P713" s="4"/>
      <c r="Q713" s="4"/>
      <c r="R713" s="4"/>
      <c r="S713" s="4"/>
      <c r="T713" s="4"/>
      <c r="U713" s="4"/>
      <c r="V713" s="5"/>
      <c r="W713" s="5"/>
      <c r="X713" s="4"/>
      <c r="Y713" s="5"/>
      <c r="Z713" s="5"/>
      <c r="AA713" s="5"/>
      <c r="AB713" s="33"/>
      <c r="AC713" s="33"/>
      <c r="AD713" s="33"/>
      <c r="AE713" s="33"/>
    </row>
    <row r="714" spans="1:31" ht="24" hidden="1" x14ac:dyDescent="0.25">
      <c r="A714" s="3">
        <v>7</v>
      </c>
      <c r="B714" s="3">
        <v>2</v>
      </c>
      <c r="C714" s="3">
        <v>3</v>
      </c>
      <c r="D714" s="3"/>
      <c r="E714" s="3"/>
      <c r="F714" s="4" t="s">
        <v>397</v>
      </c>
      <c r="G714" s="4"/>
      <c r="H714" s="5"/>
      <c r="I714" s="5"/>
      <c r="J714" s="5"/>
      <c r="K714" s="5"/>
      <c r="L714" s="5"/>
      <c r="M714" s="5"/>
      <c r="N714" s="5"/>
      <c r="O714" s="4"/>
      <c r="P714" s="4"/>
      <c r="Q714" s="4"/>
      <c r="R714" s="4"/>
      <c r="S714" s="4"/>
      <c r="T714" s="4"/>
      <c r="U714" s="4"/>
      <c r="V714" s="5"/>
      <c r="W714" s="5"/>
      <c r="X714" s="4"/>
      <c r="Y714" s="5"/>
      <c r="Z714" s="5"/>
      <c r="AA714" s="5"/>
      <c r="AB714" s="33"/>
      <c r="AC714" s="33"/>
      <c r="AD714" s="33"/>
      <c r="AE714" s="33"/>
    </row>
    <row r="715" spans="1:31" ht="24" hidden="1" x14ac:dyDescent="0.25">
      <c r="A715" s="3">
        <v>7</v>
      </c>
      <c r="B715" s="3">
        <v>2</v>
      </c>
      <c r="C715" s="3">
        <v>4</v>
      </c>
      <c r="D715" s="3"/>
      <c r="E715" s="3"/>
      <c r="F715" s="4" t="s">
        <v>398</v>
      </c>
      <c r="G715" s="4"/>
      <c r="H715" s="5"/>
      <c r="I715" s="5"/>
      <c r="J715" s="5"/>
      <c r="K715" s="5"/>
      <c r="L715" s="5"/>
      <c r="M715" s="5"/>
      <c r="N715" s="5"/>
      <c r="O715" s="4"/>
      <c r="P715" s="4"/>
      <c r="Q715" s="4"/>
      <c r="R715" s="4"/>
      <c r="S715" s="4"/>
      <c r="T715" s="4"/>
      <c r="U715" s="4"/>
      <c r="V715" s="5"/>
      <c r="W715" s="5"/>
      <c r="X715" s="4"/>
      <c r="Y715" s="5"/>
      <c r="Z715" s="5"/>
      <c r="AA715" s="5"/>
      <c r="AB715" s="33"/>
      <c r="AC715" s="33"/>
      <c r="AD715" s="33"/>
      <c r="AE715" s="33"/>
    </row>
    <row r="716" spans="1:31" ht="24" hidden="1" x14ac:dyDescent="0.25">
      <c r="A716" s="3">
        <v>7</v>
      </c>
      <c r="B716" s="3">
        <v>2</v>
      </c>
      <c r="C716" s="3">
        <v>5</v>
      </c>
      <c r="D716" s="3"/>
      <c r="E716" s="3"/>
      <c r="F716" s="4" t="s">
        <v>399</v>
      </c>
      <c r="G716" s="4"/>
      <c r="H716" s="5"/>
      <c r="I716" s="5"/>
      <c r="J716" s="5"/>
      <c r="K716" s="5"/>
      <c r="L716" s="5"/>
      <c r="M716" s="5"/>
      <c r="N716" s="5"/>
      <c r="O716" s="4"/>
      <c r="P716" s="4"/>
      <c r="Q716" s="4"/>
      <c r="R716" s="4"/>
      <c r="S716" s="4"/>
      <c r="T716" s="4"/>
      <c r="U716" s="4"/>
      <c r="V716" s="5"/>
      <c r="W716" s="5"/>
      <c r="X716" s="4"/>
      <c r="Y716" s="5"/>
      <c r="Z716" s="5"/>
      <c r="AA716" s="5"/>
      <c r="AB716" s="33"/>
      <c r="AC716" s="33"/>
      <c r="AD716" s="33"/>
      <c r="AE716" s="33"/>
    </row>
    <row r="717" spans="1:31" ht="24" hidden="1" x14ac:dyDescent="0.25">
      <c r="A717" s="3">
        <v>7</v>
      </c>
      <c r="B717" s="3">
        <v>2</v>
      </c>
      <c r="C717" s="3">
        <v>6</v>
      </c>
      <c r="D717" s="3"/>
      <c r="E717" s="3"/>
      <c r="F717" s="4" t="s">
        <v>400</v>
      </c>
      <c r="G717" s="4"/>
      <c r="H717" s="5"/>
      <c r="I717" s="5"/>
      <c r="J717" s="5"/>
      <c r="K717" s="5"/>
      <c r="L717" s="5"/>
      <c r="M717" s="5"/>
      <c r="N717" s="5"/>
      <c r="O717" s="4"/>
      <c r="P717" s="4"/>
      <c r="Q717" s="4"/>
      <c r="R717" s="4"/>
      <c r="S717" s="4"/>
      <c r="T717" s="4"/>
      <c r="U717" s="4"/>
      <c r="V717" s="5"/>
      <c r="W717" s="5"/>
      <c r="X717" s="4"/>
      <c r="Y717" s="5"/>
      <c r="Z717" s="5"/>
      <c r="AA717" s="5"/>
      <c r="AB717" s="33"/>
      <c r="AC717" s="33"/>
      <c r="AD717" s="33"/>
      <c r="AE717" s="33"/>
    </row>
    <row r="718" spans="1:31" hidden="1" x14ac:dyDescent="0.25">
      <c r="A718" s="2">
        <v>7</v>
      </c>
      <c r="B718" s="2">
        <v>3</v>
      </c>
      <c r="C718" s="2"/>
      <c r="D718" s="2"/>
      <c r="E718" s="2"/>
      <c r="F718" s="2" t="s">
        <v>401</v>
      </c>
      <c r="G718" s="2"/>
      <c r="H718" s="5"/>
      <c r="I718" s="5"/>
      <c r="J718" s="5"/>
      <c r="K718" s="5"/>
      <c r="L718" s="5"/>
      <c r="M718" s="5"/>
      <c r="N718" s="5"/>
      <c r="O718" s="2"/>
      <c r="P718" s="2"/>
      <c r="Q718" s="2"/>
      <c r="R718" s="2"/>
      <c r="S718" s="2"/>
      <c r="T718" s="2"/>
      <c r="U718" s="2"/>
      <c r="V718" s="5"/>
      <c r="W718" s="5"/>
      <c r="X718" s="2"/>
      <c r="Y718" s="5"/>
      <c r="Z718" s="5"/>
      <c r="AA718" s="5"/>
      <c r="AB718" s="33"/>
      <c r="AC718" s="33"/>
      <c r="AD718" s="33"/>
      <c r="AE718" s="33"/>
    </row>
    <row r="719" spans="1:31" hidden="1" x14ac:dyDescent="0.25">
      <c r="A719" s="3">
        <v>7</v>
      </c>
      <c r="B719" s="3">
        <v>3</v>
      </c>
      <c r="C719" s="3">
        <v>1</v>
      </c>
      <c r="D719" s="3"/>
      <c r="E719" s="3"/>
      <c r="F719" s="4" t="s">
        <v>402</v>
      </c>
      <c r="G719" s="4"/>
      <c r="H719" s="5"/>
      <c r="I719" s="5"/>
      <c r="J719" s="5"/>
      <c r="K719" s="5"/>
      <c r="L719" s="5"/>
      <c r="M719" s="5"/>
      <c r="N719" s="5"/>
      <c r="O719" s="4"/>
      <c r="P719" s="4"/>
      <c r="Q719" s="4"/>
      <c r="R719" s="4"/>
      <c r="S719" s="4"/>
      <c r="T719" s="4"/>
      <c r="U719" s="4"/>
      <c r="V719" s="5"/>
      <c r="W719" s="5"/>
      <c r="X719" s="4"/>
      <c r="Y719" s="5"/>
      <c r="Z719" s="5"/>
      <c r="AA719" s="5"/>
      <c r="AB719" s="33"/>
      <c r="AC719" s="33"/>
      <c r="AD719" s="33"/>
      <c r="AE719" s="33"/>
    </row>
    <row r="720" spans="1:31" hidden="1" x14ac:dyDescent="0.25">
      <c r="A720" s="3">
        <v>7</v>
      </c>
      <c r="B720" s="3">
        <v>3</v>
      </c>
      <c r="C720" s="3">
        <v>2</v>
      </c>
      <c r="D720" s="3"/>
      <c r="E720" s="3"/>
      <c r="F720" s="4" t="s">
        <v>403</v>
      </c>
      <c r="G720" s="4"/>
      <c r="H720" s="5"/>
      <c r="I720" s="5"/>
      <c r="J720" s="5"/>
      <c r="K720" s="5"/>
      <c r="L720" s="5"/>
      <c r="M720" s="5"/>
      <c r="N720" s="5"/>
      <c r="O720" s="4"/>
      <c r="P720" s="4"/>
      <c r="Q720" s="4"/>
      <c r="R720" s="4"/>
      <c r="S720" s="4"/>
      <c r="T720" s="4"/>
      <c r="U720" s="4"/>
      <c r="V720" s="5"/>
      <c r="W720" s="5"/>
      <c r="X720" s="4"/>
      <c r="Y720" s="5"/>
      <c r="Z720" s="5"/>
      <c r="AA720" s="5"/>
      <c r="AB720" s="33"/>
      <c r="AC720" s="33"/>
      <c r="AD720" s="33"/>
      <c r="AE720" s="33"/>
    </row>
    <row r="721" spans="1:31" hidden="1" x14ac:dyDescent="0.25">
      <c r="A721" s="3">
        <v>7</v>
      </c>
      <c r="B721" s="3">
        <v>3</v>
      </c>
      <c r="C721" s="3">
        <v>3</v>
      </c>
      <c r="D721" s="3"/>
      <c r="E721" s="3"/>
      <c r="F721" s="4" t="s">
        <v>404</v>
      </c>
      <c r="G721" s="4"/>
      <c r="H721" s="5"/>
      <c r="I721" s="5"/>
      <c r="J721" s="5"/>
      <c r="K721" s="5"/>
      <c r="L721" s="5"/>
      <c r="M721" s="5"/>
      <c r="N721" s="5"/>
      <c r="O721" s="4"/>
      <c r="P721" s="4"/>
      <c r="Q721" s="4"/>
      <c r="R721" s="4"/>
      <c r="S721" s="4"/>
      <c r="T721" s="4"/>
      <c r="U721" s="4"/>
      <c r="V721" s="5"/>
      <c r="W721" s="5"/>
      <c r="X721" s="4"/>
      <c r="Y721" s="5"/>
      <c r="Z721" s="5"/>
      <c r="AA721" s="5"/>
      <c r="AB721" s="33"/>
      <c r="AC721" s="33"/>
      <c r="AD721" s="33"/>
      <c r="AE721" s="33"/>
    </row>
    <row r="722" spans="1:31" hidden="1" x14ac:dyDescent="0.25">
      <c r="A722" s="3">
        <v>7</v>
      </c>
      <c r="B722" s="3">
        <v>3</v>
      </c>
      <c r="C722" s="3">
        <v>4</v>
      </c>
      <c r="D722" s="3"/>
      <c r="E722" s="3"/>
      <c r="F722" s="4" t="s">
        <v>405</v>
      </c>
      <c r="G722" s="4"/>
      <c r="H722" s="5"/>
      <c r="I722" s="5"/>
      <c r="J722" s="5"/>
      <c r="K722" s="5"/>
      <c r="L722" s="5"/>
      <c r="M722" s="5"/>
      <c r="N722" s="5"/>
      <c r="O722" s="4"/>
      <c r="P722" s="4"/>
      <c r="Q722" s="4"/>
      <c r="R722" s="4"/>
      <c r="S722" s="4"/>
      <c r="T722" s="4"/>
      <c r="U722" s="4"/>
      <c r="V722" s="5"/>
      <c r="W722" s="5"/>
      <c r="X722" s="4"/>
      <c r="Y722" s="5"/>
      <c r="Z722" s="5"/>
      <c r="AA722" s="5"/>
      <c r="AB722" s="33"/>
      <c r="AC722" s="33"/>
      <c r="AD722" s="33"/>
      <c r="AE722" s="33"/>
    </row>
    <row r="723" spans="1:31" ht="24" hidden="1" x14ac:dyDescent="0.25">
      <c r="A723" s="3">
        <v>7</v>
      </c>
      <c r="B723" s="3">
        <v>3</v>
      </c>
      <c r="C723" s="3">
        <v>5</v>
      </c>
      <c r="D723" s="3"/>
      <c r="E723" s="3"/>
      <c r="F723" s="4" t="s">
        <v>406</v>
      </c>
      <c r="G723" s="4"/>
      <c r="H723" s="5"/>
      <c r="I723" s="5"/>
      <c r="J723" s="5"/>
      <c r="K723" s="5"/>
      <c r="L723" s="5"/>
      <c r="M723" s="5"/>
      <c r="N723" s="5"/>
      <c r="O723" s="4"/>
      <c r="P723" s="4"/>
      <c r="Q723" s="4"/>
      <c r="R723" s="4"/>
      <c r="S723" s="4"/>
      <c r="T723" s="4"/>
      <c r="U723" s="4"/>
      <c r="V723" s="5"/>
      <c r="W723" s="5"/>
      <c r="X723" s="4"/>
      <c r="Y723" s="5"/>
      <c r="Z723" s="5"/>
      <c r="AA723" s="5"/>
      <c r="AB723" s="33"/>
      <c r="AC723" s="33"/>
      <c r="AD723" s="33"/>
      <c r="AE723" s="33"/>
    </row>
    <row r="724" spans="1:31" ht="24" hidden="1" x14ac:dyDescent="0.25">
      <c r="A724" s="3">
        <v>7</v>
      </c>
      <c r="B724" s="3">
        <v>3</v>
      </c>
      <c r="C724" s="3">
        <v>6</v>
      </c>
      <c r="D724" s="3"/>
      <c r="E724" s="3"/>
      <c r="F724" s="4" t="s">
        <v>407</v>
      </c>
      <c r="G724" s="4"/>
      <c r="H724" s="5"/>
      <c r="I724" s="5"/>
      <c r="J724" s="5"/>
      <c r="K724" s="5"/>
      <c r="L724" s="5"/>
      <c r="M724" s="5"/>
      <c r="N724" s="5"/>
      <c r="O724" s="4"/>
      <c r="P724" s="4"/>
      <c r="Q724" s="4"/>
      <c r="R724" s="4"/>
      <c r="S724" s="4"/>
      <c r="T724" s="4"/>
      <c r="U724" s="4"/>
      <c r="V724" s="5"/>
      <c r="W724" s="5"/>
      <c r="X724" s="4"/>
      <c r="Y724" s="5"/>
      <c r="Z724" s="5"/>
      <c r="AA724" s="5"/>
      <c r="AB724" s="33"/>
      <c r="AC724" s="33"/>
      <c r="AD724" s="33"/>
      <c r="AE724" s="33"/>
    </row>
    <row r="725" spans="1:31" hidden="1" x14ac:dyDescent="0.25">
      <c r="A725" s="2">
        <v>7</v>
      </c>
      <c r="B725" s="2">
        <v>4</v>
      </c>
      <c r="C725" s="2"/>
      <c r="D725" s="2"/>
      <c r="E725" s="2"/>
      <c r="F725" s="2" t="s">
        <v>408</v>
      </c>
      <c r="G725" s="2"/>
      <c r="H725" s="5"/>
      <c r="I725" s="5"/>
      <c r="J725" s="5"/>
      <c r="K725" s="5"/>
      <c r="L725" s="5"/>
      <c r="M725" s="5"/>
      <c r="N725" s="5"/>
      <c r="O725" s="2"/>
      <c r="P725" s="2"/>
      <c r="Q725" s="2"/>
      <c r="R725" s="2"/>
      <c r="S725" s="2"/>
      <c r="T725" s="2"/>
      <c r="U725" s="2"/>
      <c r="V725" s="5"/>
      <c r="W725" s="5"/>
      <c r="X725" s="2"/>
      <c r="Y725" s="5"/>
      <c r="Z725" s="5"/>
      <c r="AA725" s="5"/>
      <c r="AB725" s="33"/>
      <c r="AC725" s="33"/>
      <c r="AD725" s="33"/>
      <c r="AE725" s="33"/>
    </row>
    <row r="726" spans="1:31" hidden="1" x14ac:dyDescent="0.25">
      <c r="A726" s="3">
        <v>7</v>
      </c>
      <c r="B726" s="3">
        <v>4</v>
      </c>
      <c r="C726" s="3">
        <v>1</v>
      </c>
      <c r="D726" s="3"/>
      <c r="E726" s="3"/>
      <c r="F726" s="4" t="s">
        <v>409</v>
      </c>
      <c r="G726" s="4"/>
      <c r="H726" s="5"/>
      <c r="I726" s="5"/>
      <c r="J726" s="5"/>
      <c r="K726" s="5"/>
      <c r="L726" s="5"/>
      <c r="M726" s="5"/>
      <c r="N726" s="5"/>
      <c r="O726" s="4"/>
      <c r="P726" s="4"/>
      <c r="Q726" s="4"/>
      <c r="R726" s="4"/>
      <c r="S726" s="4"/>
      <c r="T726" s="4"/>
      <c r="U726" s="4"/>
      <c r="V726" s="5"/>
      <c r="W726" s="5"/>
      <c r="X726" s="4"/>
      <c r="Y726" s="5"/>
      <c r="Z726" s="5"/>
      <c r="AA726" s="5"/>
      <c r="AB726" s="33"/>
      <c r="AC726" s="33"/>
      <c r="AD726" s="33"/>
      <c r="AE726" s="33"/>
    </row>
    <row r="727" spans="1:31" hidden="1" x14ac:dyDescent="0.25">
      <c r="A727" s="3">
        <v>7</v>
      </c>
      <c r="B727" s="3">
        <v>4</v>
      </c>
      <c r="C727" s="3">
        <v>2</v>
      </c>
      <c r="D727" s="3"/>
      <c r="E727" s="3"/>
      <c r="F727" s="4" t="s">
        <v>410</v>
      </c>
      <c r="G727" s="4"/>
      <c r="H727" s="5"/>
      <c r="I727" s="5"/>
      <c r="J727" s="5"/>
      <c r="K727" s="5"/>
      <c r="L727" s="5"/>
      <c r="M727" s="5"/>
      <c r="N727" s="5"/>
      <c r="O727" s="4"/>
      <c r="P727" s="4"/>
      <c r="Q727" s="4"/>
      <c r="R727" s="4"/>
      <c r="S727" s="4"/>
      <c r="T727" s="4"/>
      <c r="U727" s="4"/>
      <c r="V727" s="5"/>
      <c r="W727" s="5"/>
      <c r="X727" s="4"/>
      <c r="Y727" s="5"/>
      <c r="Z727" s="5"/>
      <c r="AA727" s="5"/>
      <c r="AB727" s="33"/>
      <c r="AC727" s="33"/>
      <c r="AD727" s="33"/>
      <c r="AE727" s="33"/>
    </row>
    <row r="728" spans="1:31" ht="24" hidden="1" x14ac:dyDescent="0.25">
      <c r="A728" s="2">
        <v>7</v>
      </c>
      <c r="B728" s="2">
        <v>5</v>
      </c>
      <c r="C728" s="2"/>
      <c r="D728" s="2"/>
      <c r="E728" s="2"/>
      <c r="F728" s="2" t="s">
        <v>411</v>
      </c>
      <c r="G728" s="2"/>
      <c r="H728" s="5"/>
      <c r="I728" s="5"/>
      <c r="J728" s="5"/>
      <c r="K728" s="5"/>
      <c r="L728" s="5"/>
      <c r="M728" s="5"/>
      <c r="N728" s="5"/>
      <c r="O728" s="2"/>
      <c r="P728" s="2"/>
      <c r="Q728" s="2"/>
      <c r="R728" s="2"/>
      <c r="S728" s="2"/>
      <c r="T728" s="2"/>
      <c r="U728" s="2"/>
      <c r="V728" s="5"/>
      <c r="W728" s="5"/>
      <c r="X728" s="2"/>
      <c r="Y728" s="5"/>
      <c r="Z728" s="5"/>
      <c r="AA728" s="5"/>
      <c r="AB728" s="33"/>
      <c r="AC728" s="33"/>
      <c r="AD728" s="33"/>
      <c r="AE728" s="33"/>
    </row>
    <row r="729" spans="1:31" ht="24" hidden="1" x14ac:dyDescent="0.25">
      <c r="A729" s="3">
        <v>7</v>
      </c>
      <c r="B729" s="3">
        <v>5</v>
      </c>
      <c r="C729" s="3">
        <v>1</v>
      </c>
      <c r="D729" s="3"/>
      <c r="E729" s="3"/>
      <c r="F729" s="4" t="s">
        <v>412</v>
      </c>
      <c r="G729" s="4"/>
      <c r="H729" s="5"/>
      <c r="I729" s="5"/>
      <c r="J729" s="5"/>
      <c r="K729" s="5"/>
      <c r="L729" s="5"/>
      <c r="M729" s="5"/>
      <c r="N729" s="5"/>
      <c r="O729" s="4"/>
      <c r="P729" s="4"/>
      <c r="Q729" s="4"/>
      <c r="R729" s="4"/>
      <c r="S729" s="4"/>
      <c r="T729" s="4"/>
      <c r="U729" s="4"/>
      <c r="V729" s="5"/>
      <c r="W729" s="5"/>
      <c r="X729" s="4"/>
      <c r="Y729" s="5"/>
      <c r="Z729" s="5"/>
      <c r="AA729" s="5"/>
      <c r="AB729" s="33"/>
      <c r="AC729" s="33"/>
      <c r="AD729" s="33"/>
      <c r="AE729" s="33"/>
    </row>
    <row r="730" spans="1:31" ht="24" hidden="1" x14ac:dyDescent="0.25">
      <c r="A730" s="3">
        <v>7</v>
      </c>
      <c r="B730" s="3">
        <v>5</v>
      </c>
      <c r="C730" s="3">
        <v>2</v>
      </c>
      <c r="D730" s="3"/>
      <c r="E730" s="3"/>
      <c r="F730" s="4" t="s">
        <v>413</v>
      </c>
      <c r="G730" s="4"/>
      <c r="H730" s="5"/>
      <c r="I730" s="5"/>
      <c r="J730" s="5"/>
      <c r="K730" s="5"/>
      <c r="L730" s="5"/>
      <c r="M730" s="5"/>
      <c r="N730" s="5"/>
      <c r="O730" s="4"/>
      <c r="P730" s="4"/>
      <c r="Q730" s="4"/>
      <c r="R730" s="4"/>
      <c r="S730" s="4"/>
      <c r="T730" s="4"/>
      <c r="U730" s="4"/>
      <c r="V730" s="5"/>
      <c r="W730" s="5"/>
      <c r="X730" s="4"/>
      <c r="Y730" s="5"/>
      <c r="Z730" s="5"/>
      <c r="AA730" s="5"/>
      <c r="AB730" s="33"/>
      <c r="AC730" s="33"/>
      <c r="AD730" s="33"/>
      <c r="AE730" s="33"/>
    </row>
    <row r="731" spans="1:31" hidden="1" x14ac:dyDescent="0.25">
      <c r="A731" s="2">
        <v>7</v>
      </c>
      <c r="B731" s="2">
        <v>6</v>
      </c>
      <c r="C731" s="2"/>
      <c r="D731" s="2"/>
      <c r="E731" s="2"/>
      <c r="F731" s="2" t="s">
        <v>414</v>
      </c>
      <c r="G731" s="2"/>
      <c r="H731" s="5"/>
      <c r="I731" s="5"/>
      <c r="J731" s="5"/>
      <c r="K731" s="5"/>
      <c r="L731" s="5"/>
      <c r="M731" s="5"/>
      <c r="N731" s="5"/>
      <c r="O731" s="2"/>
      <c r="P731" s="2"/>
      <c r="Q731" s="2"/>
      <c r="R731" s="2"/>
      <c r="S731" s="2"/>
      <c r="T731" s="2"/>
      <c r="U731" s="2"/>
      <c r="V731" s="5"/>
      <c r="W731" s="5"/>
      <c r="X731" s="2"/>
      <c r="Y731" s="5"/>
      <c r="Z731" s="5"/>
      <c r="AA731" s="5"/>
      <c r="AB731" s="33"/>
      <c r="AC731" s="33"/>
      <c r="AD731" s="33"/>
      <c r="AE731" s="33"/>
    </row>
    <row r="732" spans="1:31" hidden="1" x14ac:dyDescent="0.25">
      <c r="A732" s="3">
        <v>7</v>
      </c>
      <c r="B732" s="3">
        <v>6</v>
      </c>
      <c r="C732" s="3">
        <v>1</v>
      </c>
      <c r="D732" s="3"/>
      <c r="E732" s="3"/>
      <c r="F732" s="4" t="s">
        <v>415</v>
      </c>
      <c r="G732" s="4"/>
      <c r="H732" s="5"/>
      <c r="I732" s="5"/>
      <c r="J732" s="5"/>
      <c r="K732" s="5"/>
      <c r="L732" s="5"/>
      <c r="M732" s="5"/>
      <c r="N732" s="5"/>
      <c r="O732" s="4"/>
      <c r="P732" s="4"/>
      <c r="Q732" s="4"/>
      <c r="R732" s="4"/>
      <c r="S732" s="4"/>
      <c r="T732" s="4"/>
      <c r="U732" s="4"/>
      <c r="V732" s="5"/>
      <c r="W732" s="5"/>
      <c r="X732" s="4"/>
      <c r="Y732" s="5"/>
      <c r="Z732" s="5"/>
      <c r="AA732" s="5"/>
      <c r="AB732" s="33"/>
      <c r="AC732" s="33"/>
      <c r="AD732" s="33"/>
      <c r="AE732" s="33"/>
    </row>
    <row r="733" spans="1:31" hidden="1" x14ac:dyDescent="0.25">
      <c r="A733" s="3">
        <v>7</v>
      </c>
      <c r="B733" s="3">
        <v>6</v>
      </c>
      <c r="C733" s="3">
        <v>2</v>
      </c>
      <c r="D733" s="3"/>
      <c r="E733" s="3"/>
      <c r="F733" s="4" t="s">
        <v>416</v>
      </c>
      <c r="G733" s="4"/>
      <c r="H733" s="5"/>
      <c r="I733" s="5"/>
      <c r="J733" s="5"/>
      <c r="K733" s="5"/>
      <c r="L733" s="5"/>
      <c r="M733" s="5"/>
      <c r="N733" s="5"/>
      <c r="O733" s="4"/>
      <c r="P733" s="4"/>
      <c r="Q733" s="4"/>
      <c r="R733" s="4"/>
      <c r="S733" s="4"/>
      <c r="T733" s="4"/>
      <c r="U733" s="4"/>
      <c r="V733" s="5"/>
      <c r="W733" s="5"/>
      <c r="X733" s="4"/>
      <c r="Y733" s="5"/>
      <c r="Z733" s="5"/>
      <c r="AA733" s="5"/>
      <c r="AB733" s="33"/>
      <c r="AC733" s="33"/>
      <c r="AD733" s="33"/>
      <c r="AE733" s="33"/>
    </row>
    <row r="734" spans="1:31" hidden="1" x14ac:dyDescent="0.25">
      <c r="A734" s="3">
        <v>7</v>
      </c>
      <c r="B734" s="3">
        <v>6</v>
      </c>
      <c r="C734" s="3">
        <v>3</v>
      </c>
      <c r="D734" s="3"/>
      <c r="E734" s="3"/>
      <c r="F734" s="4" t="s">
        <v>417</v>
      </c>
      <c r="G734" s="4"/>
      <c r="H734" s="5"/>
      <c r="I734" s="5"/>
      <c r="J734" s="5"/>
      <c r="K734" s="5"/>
      <c r="L734" s="5"/>
      <c r="M734" s="5"/>
      <c r="N734" s="5"/>
      <c r="O734" s="4"/>
      <c r="P734" s="4"/>
      <c r="Q734" s="4"/>
      <c r="R734" s="4"/>
      <c r="S734" s="4"/>
      <c r="T734" s="4"/>
      <c r="U734" s="4"/>
      <c r="V734" s="5"/>
      <c r="W734" s="5"/>
      <c r="X734" s="4"/>
      <c r="Y734" s="5"/>
      <c r="Z734" s="5"/>
      <c r="AA734" s="5"/>
      <c r="AB734" s="33"/>
      <c r="AC734" s="33"/>
      <c r="AD734" s="33"/>
      <c r="AE734" s="33"/>
    </row>
    <row r="735" spans="1:31" hidden="1" x14ac:dyDescent="0.25">
      <c r="A735" s="3">
        <v>7</v>
      </c>
      <c r="B735" s="3">
        <v>6</v>
      </c>
      <c r="C735" s="3">
        <v>4</v>
      </c>
      <c r="D735" s="3"/>
      <c r="E735" s="3"/>
      <c r="F735" s="4" t="s">
        <v>418</v>
      </c>
      <c r="G735" s="4"/>
      <c r="H735" s="5"/>
      <c r="I735" s="5"/>
      <c r="J735" s="5"/>
      <c r="K735" s="5"/>
      <c r="L735" s="5"/>
      <c r="M735" s="5"/>
      <c r="N735" s="5"/>
      <c r="O735" s="4"/>
      <c r="P735" s="4"/>
      <c r="Q735" s="4"/>
      <c r="R735" s="4"/>
      <c r="S735" s="4"/>
      <c r="T735" s="4"/>
      <c r="U735" s="4"/>
      <c r="V735" s="5"/>
      <c r="W735" s="5"/>
      <c r="X735" s="4"/>
      <c r="Y735" s="5"/>
      <c r="Z735" s="5"/>
      <c r="AA735" s="5"/>
      <c r="AB735" s="33"/>
      <c r="AC735" s="33"/>
      <c r="AD735" s="33"/>
      <c r="AE735" s="33"/>
    </row>
    <row r="736" spans="1:31" hidden="1" x14ac:dyDescent="0.25">
      <c r="A736" s="1">
        <v>8</v>
      </c>
      <c r="B736" s="1"/>
      <c r="C736" s="1"/>
      <c r="D736" s="1"/>
      <c r="E736" s="1"/>
      <c r="F736" s="1" t="s">
        <v>419</v>
      </c>
      <c r="G736" s="1"/>
      <c r="H736" s="5"/>
      <c r="I736" s="5"/>
      <c r="J736" s="5"/>
      <c r="K736" s="5"/>
      <c r="L736" s="5"/>
      <c r="M736" s="5"/>
      <c r="N736" s="5"/>
      <c r="O736" s="1"/>
      <c r="P736" s="1"/>
      <c r="Q736" s="1"/>
      <c r="R736" s="1"/>
      <c r="S736" s="1"/>
      <c r="T736" s="1"/>
      <c r="U736" s="1"/>
      <c r="V736" s="5"/>
      <c r="W736" s="5"/>
      <c r="X736" s="1"/>
      <c r="Y736" s="5"/>
      <c r="Z736" s="5"/>
      <c r="AA736" s="5"/>
      <c r="AB736" s="33"/>
      <c r="AC736" s="33"/>
      <c r="AD736" s="33"/>
      <c r="AE736" s="33"/>
    </row>
    <row r="737" spans="1:31" hidden="1" x14ac:dyDescent="0.25">
      <c r="A737" s="2">
        <v>8</v>
      </c>
      <c r="B737" s="2">
        <v>1</v>
      </c>
      <c r="C737" s="2"/>
      <c r="D737" s="2"/>
      <c r="E737" s="2"/>
      <c r="F737" s="2" t="s">
        <v>420</v>
      </c>
      <c r="G737" s="2"/>
      <c r="H737" s="5"/>
      <c r="I737" s="5"/>
      <c r="J737" s="5"/>
      <c r="K737" s="5"/>
      <c r="L737" s="5"/>
      <c r="M737" s="5"/>
      <c r="N737" s="5"/>
      <c r="O737" s="2"/>
      <c r="P737" s="2"/>
      <c r="Q737" s="2"/>
      <c r="R737" s="2"/>
      <c r="S737" s="2"/>
      <c r="T737" s="2"/>
      <c r="U737" s="2"/>
      <c r="V737" s="5"/>
      <c r="W737" s="5"/>
      <c r="X737" s="2"/>
      <c r="Y737" s="5"/>
      <c r="Z737" s="5"/>
      <c r="AA737" s="5"/>
      <c r="AB737" s="33"/>
      <c r="AC737" s="33"/>
      <c r="AD737" s="33"/>
      <c r="AE737" s="33"/>
    </row>
    <row r="738" spans="1:31" hidden="1" x14ac:dyDescent="0.25">
      <c r="A738" s="3">
        <v>8</v>
      </c>
      <c r="B738" s="3">
        <v>1</v>
      </c>
      <c r="C738" s="3">
        <v>1</v>
      </c>
      <c r="D738" s="3"/>
      <c r="E738" s="3"/>
      <c r="F738" s="3" t="s">
        <v>421</v>
      </c>
      <c r="G738" s="3"/>
      <c r="H738" s="5"/>
      <c r="I738" s="5"/>
      <c r="J738" s="5"/>
      <c r="K738" s="5"/>
      <c r="L738" s="5"/>
      <c r="M738" s="5"/>
      <c r="N738" s="5"/>
      <c r="O738" s="3"/>
      <c r="P738" s="3"/>
      <c r="Q738" s="3"/>
      <c r="R738" s="3"/>
      <c r="S738" s="3"/>
      <c r="T738" s="3"/>
      <c r="U738" s="3"/>
      <c r="V738" s="5"/>
      <c r="W738" s="5"/>
      <c r="X738" s="3"/>
      <c r="Y738" s="5"/>
      <c r="Z738" s="5"/>
      <c r="AA738" s="5"/>
      <c r="AB738" s="33"/>
      <c r="AC738" s="33"/>
      <c r="AD738" s="33"/>
      <c r="AE738" s="33"/>
    </row>
    <row r="739" spans="1:31" hidden="1" x14ac:dyDescent="0.25">
      <c r="A739" s="3">
        <v>8</v>
      </c>
      <c r="B739" s="3">
        <v>1</v>
      </c>
      <c r="C739" s="3">
        <v>2</v>
      </c>
      <c r="D739" s="3"/>
      <c r="E739" s="3"/>
      <c r="F739" s="3" t="s">
        <v>422</v>
      </c>
      <c r="G739" s="3"/>
      <c r="H739" s="5"/>
      <c r="I739" s="5"/>
      <c r="J739" s="5"/>
      <c r="K739" s="5"/>
      <c r="L739" s="5"/>
      <c r="M739" s="5"/>
      <c r="N739" s="5"/>
      <c r="O739" s="3"/>
      <c r="P739" s="3"/>
      <c r="Q739" s="3"/>
      <c r="R739" s="3"/>
      <c r="S739" s="3"/>
      <c r="T739" s="3"/>
      <c r="U739" s="3"/>
      <c r="V739" s="5"/>
      <c r="W739" s="5"/>
      <c r="X739" s="3"/>
      <c r="Y739" s="5"/>
      <c r="Z739" s="5"/>
      <c r="AA739" s="5"/>
      <c r="AB739" s="33"/>
      <c r="AC739" s="33"/>
      <c r="AD739" s="33"/>
      <c r="AE739" s="33"/>
    </row>
    <row r="740" spans="1:31" hidden="1" x14ac:dyDescent="0.25">
      <c r="A740" s="3">
        <v>8</v>
      </c>
      <c r="B740" s="3">
        <v>1</v>
      </c>
      <c r="C740" s="3">
        <v>3</v>
      </c>
      <c r="D740" s="3"/>
      <c r="E740" s="3"/>
      <c r="F740" s="3" t="s">
        <v>423</v>
      </c>
      <c r="G740" s="3"/>
      <c r="H740" s="5"/>
      <c r="I740" s="5"/>
      <c r="J740" s="5"/>
      <c r="K740" s="5"/>
      <c r="L740" s="5"/>
      <c r="M740" s="5"/>
      <c r="N740" s="5"/>
      <c r="O740" s="3"/>
      <c r="P740" s="3"/>
      <c r="Q740" s="3"/>
      <c r="R740" s="3"/>
      <c r="S740" s="3"/>
      <c r="T740" s="3"/>
      <c r="U740" s="3"/>
      <c r="V740" s="5"/>
      <c r="W740" s="5"/>
      <c r="X740" s="3"/>
      <c r="Y740" s="5"/>
      <c r="Z740" s="5"/>
      <c r="AA740" s="5"/>
      <c r="AB740" s="33"/>
      <c r="AC740" s="33"/>
      <c r="AD740" s="33"/>
      <c r="AE740" s="33"/>
    </row>
    <row r="741" spans="1:31" hidden="1" x14ac:dyDescent="0.25">
      <c r="A741" s="3">
        <v>8</v>
      </c>
      <c r="B741" s="3">
        <v>1</v>
      </c>
      <c r="C741" s="3">
        <v>4</v>
      </c>
      <c r="D741" s="3"/>
      <c r="E741" s="3"/>
      <c r="F741" s="3" t="s">
        <v>424</v>
      </c>
      <c r="G741" s="3"/>
      <c r="H741" s="5"/>
      <c r="I741" s="5"/>
      <c r="J741" s="5"/>
      <c r="K741" s="5"/>
      <c r="L741" s="5"/>
      <c r="M741" s="5"/>
      <c r="N741" s="5"/>
      <c r="O741" s="3"/>
      <c r="P741" s="3"/>
      <c r="Q741" s="3"/>
      <c r="R741" s="3"/>
      <c r="S741" s="3"/>
      <c r="T741" s="3"/>
      <c r="U741" s="3"/>
      <c r="V741" s="5"/>
      <c r="W741" s="5"/>
      <c r="X741" s="3"/>
      <c r="Y741" s="5"/>
      <c r="Z741" s="5"/>
      <c r="AA741" s="5"/>
      <c r="AB741" s="33"/>
      <c r="AC741" s="33"/>
      <c r="AD741" s="33"/>
      <c r="AE741" s="33"/>
    </row>
    <row r="742" spans="1:31" hidden="1" x14ac:dyDescent="0.25">
      <c r="A742" s="3">
        <v>8</v>
      </c>
      <c r="B742" s="3">
        <v>1</v>
      </c>
      <c r="C742" s="3">
        <v>5</v>
      </c>
      <c r="D742" s="3"/>
      <c r="E742" s="3"/>
      <c r="F742" s="3" t="s">
        <v>425</v>
      </c>
      <c r="G742" s="3"/>
      <c r="H742" s="5"/>
      <c r="I742" s="5"/>
      <c r="J742" s="5"/>
      <c r="K742" s="5"/>
      <c r="L742" s="5"/>
      <c r="M742" s="5"/>
      <c r="N742" s="5"/>
      <c r="O742" s="3"/>
      <c r="P742" s="3"/>
      <c r="Q742" s="3"/>
      <c r="R742" s="3"/>
      <c r="S742" s="3"/>
      <c r="T742" s="3"/>
      <c r="U742" s="3"/>
      <c r="V742" s="5"/>
      <c r="W742" s="5"/>
      <c r="X742" s="3"/>
      <c r="Y742" s="5"/>
      <c r="Z742" s="5"/>
      <c r="AA742" s="5"/>
      <c r="AB742" s="33"/>
      <c r="AC742" s="33"/>
      <c r="AD742" s="33"/>
      <c r="AE742" s="33"/>
    </row>
    <row r="743" spans="1:31" hidden="1" x14ac:dyDescent="0.25">
      <c r="A743" s="2">
        <v>8</v>
      </c>
      <c r="B743" s="2">
        <v>2</v>
      </c>
      <c r="C743" s="2"/>
      <c r="D743" s="2"/>
      <c r="E743" s="2"/>
      <c r="F743" s="2" t="s">
        <v>426</v>
      </c>
      <c r="G743" s="2"/>
      <c r="H743" s="5"/>
      <c r="I743" s="5"/>
      <c r="J743" s="5"/>
      <c r="K743" s="5"/>
      <c r="L743" s="5"/>
      <c r="M743" s="5"/>
      <c r="N743" s="5"/>
      <c r="O743" s="2"/>
      <c r="P743" s="2"/>
      <c r="Q743" s="2"/>
      <c r="R743" s="2"/>
      <c r="S743" s="2"/>
      <c r="T743" s="2"/>
      <c r="U743" s="2"/>
      <c r="V743" s="5"/>
      <c r="W743" s="5"/>
      <c r="X743" s="2"/>
      <c r="Y743" s="5"/>
      <c r="Z743" s="5"/>
      <c r="AA743" s="5"/>
      <c r="AB743" s="33"/>
      <c r="AC743" s="33"/>
      <c r="AD743" s="33"/>
      <c r="AE743" s="33"/>
    </row>
    <row r="744" spans="1:31" hidden="1" x14ac:dyDescent="0.25">
      <c r="A744" s="3">
        <v>8</v>
      </c>
      <c r="B744" s="3">
        <v>2</v>
      </c>
      <c r="C744" s="3">
        <v>1</v>
      </c>
      <c r="D744" s="3"/>
      <c r="E744" s="3"/>
      <c r="F744" s="3" t="s">
        <v>427</v>
      </c>
      <c r="G744" s="3"/>
      <c r="H744" s="5"/>
      <c r="I744" s="5"/>
      <c r="J744" s="5"/>
      <c r="K744" s="5"/>
      <c r="L744" s="5"/>
      <c r="M744" s="5"/>
      <c r="N744" s="5"/>
      <c r="O744" s="3"/>
      <c r="P744" s="3"/>
      <c r="Q744" s="3"/>
      <c r="R744" s="3"/>
      <c r="S744" s="3"/>
      <c r="T744" s="3"/>
      <c r="U744" s="3"/>
      <c r="V744" s="5"/>
      <c r="W744" s="5"/>
      <c r="X744" s="3"/>
      <c r="Y744" s="5"/>
      <c r="Z744" s="5"/>
      <c r="AA744" s="5"/>
      <c r="AB744" s="33"/>
      <c r="AC744" s="33"/>
      <c r="AD744" s="33"/>
      <c r="AE744" s="33"/>
    </row>
    <row r="745" spans="1:31" hidden="1" x14ac:dyDescent="0.25">
      <c r="A745" s="3">
        <v>8</v>
      </c>
      <c r="B745" s="3">
        <v>2</v>
      </c>
      <c r="C745" s="3">
        <v>2</v>
      </c>
      <c r="D745" s="3"/>
      <c r="E745" s="3"/>
      <c r="F745" s="3" t="s">
        <v>428</v>
      </c>
      <c r="G745" s="3"/>
      <c r="H745" s="5"/>
      <c r="I745" s="5"/>
      <c r="J745" s="5"/>
      <c r="K745" s="5"/>
      <c r="L745" s="5"/>
      <c r="M745" s="5"/>
      <c r="N745" s="5"/>
      <c r="O745" s="3"/>
      <c r="P745" s="3"/>
      <c r="Q745" s="3"/>
      <c r="R745" s="3"/>
      <c r="S745" s="3"/>
      <c r="T745" s="3"/>
      <c r="U745" s="3"/>
      <c r="V745" s="5"/>
      <c r="W745" s="5"/>
      <c r="X745" s="3"/>
      <c r="Y745" s="5"/>
      <c r="Z745" s="5"/>
      <c r="AA745" s="5"/>
      <c r="AB745" s="33"/>
      <c r="AC745" s="33"/>
      <c r="AD745" s="33"/>
      <c r="AE745" s="33"/>
    </row>
    <row r="746" spans="1:31" hidden="1" x14ac:dyDescent="0.25">
      <c r="A746" s="3">
        <v>8</v>
      </c>
      <c r="B746" s="3">
        <v>2</v>
      </c>
      <c r="C746" s="3">
        <v>3</v>
      </c>
      <c r="D746" s="3"/>
      <c r="E746" s="3"/>
      <c r="F746" s="3" t="s">
        <v>429</v>
      </c>
      <c r="G746" s="3"/>
      <c r="H746" s="5"/>
      <c r="I746" s="5"/>
      <c r="J746" s="5"/>
      <c r="K746" s="5"/>
      <c r="L746" s="5"/>
      <c r="M746" s="5"/>
      <c r="N746" s="5"/>
      <c r="O746" s="3"/>
      <c r="P746" s="3"/>
      <c r="Q746" s="3"/>
      <c r="R746" s="3"/>
      <c r="S746" s="3"/>
      <c r="T746" s="3"/>
      <c r="U746" s="3"/>
      <c r="V746" s="5"/>
      <c r="W746" s="5"/>
      <c r="X746" s="3"/>
      <c r="Y746" s="5"/>
      <c r="Z746" s="5"/>
      <c r="AA746" s="5"/>
      <c r="AB746" s="33"/>
      <c r="AC746" s="33"/>
      <c r="AD746" s="33"/>
      <c r="AE746" s="33"/>
    </row>
    <row r="747" spans="1:31" hidden="1" x14ac:dyDescent="0.25">
      <c r="A747" s="3">
        <v>8</v>
      </c>
      <c r="B747" s="3">
        <v>2</v>
      </c>
      <c r="C747" s="3">
        <v>4</v>
      </c>
      <c r="D747" s="3"/>
      <c r="E747" s="3"/>
      <c r="F747" s="3" t="s">
        <v>430</v>
      </c>
      <c r="G747" s="3"/>
      <c r="H747" s="5"/>
      <c r="I747" s="5"/>
      <c r="J747" s="5"/>
      <c r="K747" s="5"/>
      <c r="L747" s="5"/>
      <c r="M747" s="5"/>
      <c r="N747" s="5"/>
      <c r="O747" s="3"/>
      <c r="P747" s="3"/>
      <c r="Q747" s="3"/>
      <c r="R747" s="3"/>
      <c r="S747" s="3"/>
      <c r="T747" s="3"/>
      <c r="U747" s="3"/>
      <c r="V747" s="5"/>
      <c r="W747" s="5"/>
      <c r="X747" s="3"/>
      <c r="Y747" s="5"/>
      <c r="Z747" s="5"/>
      <c r="AA747" s="5"/>
      <c r="AB747" s="33"/>
      <c r="AC747" s="33"/>
      <c r="AD747" s="33"/>
      <c r="AE747" s="33"/>
    </row>
    <row r="748" spans="1:31" hidden="1" x14ac:dyDescent="0.25">
      <c r="A748" s="3">
        <v>8</v>
      </c>
      <c r="B748" s="3">
        <v>2</v>
      </c>
      <c r="C748" s="3">
        <v>5</v>
      </c>
      <c r="D748" s="3"/>
      <c r="E748" s="3"/>
      <c r="F748" s="3" t="s">
        <v>431</v>
      </c>
      <c r="G748" s="3"/>
      <c r="H748" s="5"/>
      <c r="I748" s="5"/>
      <c r="J748" s="5"/>
      <c r="K748" s="5"/>
      <c r="L748" s="5"/>
      <c r="M748" s="5"/>
      <c r="N748" s="5"/>
      <c r="O748" s="3"/>
      <c r="P748" s="3"/>
      <c r="Q748" s="3"/>
      <c r="R748" s="3"/>
      <c r="S748" s="3"/>
      <c r="T748" s="3"/>
      <c r="U748" s="3"/>
      <c r="V748" s="5"/>
      <c r="W748" s="5"/>
      <c r="X748" s="3"/>
      <c r="Y748" s="5"/>
      <c r="Z748" s="5"/>
      <c r="AA748" s="5"/>
      <c r="AB748" s="33"/>
      <c r="AC748" s="33"/>
      <c r="AD748" s="33"/>
      <c r="AE748" s="33"/>
    </row>
    <row r="749" spans="1:31" hidden="1" x14ac:dyDescent="0.25">
      <c r="A749" s="3">
        <v>8</v>
      </c>
      <c r="B749" s="3">
        <v>2</v>
      </c>
      <c r="C749" s="3">
        <v>6</v>
      </c>
      <c r="D749" s="3"/>
      <c r="E749" s="3"/>
      <c r="F749" s="3" t="s">
        <v>432</v>
      </c>
      <c r="G749" s="3"/>
      <c r="H749" s="5"/>
      <c r="I749" s="5"/>
      <c r="J749" s="5"/>
      <c r="K749" s="5"/>
      <c r="L749" s="5"/>
      <c r="M749" s="5"/>
      <c r="N749" s="5"/>
      <c r="O749" s="3"/>
      <c r="P749" s="3"/>
      <c r="Q749" s="3"/>
      <c r="R749" s="3"/>
      <c r="S749" s="3"/>
      <c r="T749" s="3"/>
      <c r="U749" s="3"/>
      <c r="V749" s="5"/>
      <c r="W749" s="5"/>
      <c r="X749" s="3"/>
      <c r="Y749" s="5"/>
      <c r="Z749" s="5"/>
      <c r="AA749" s="5"/>
      <c r="AB749" s="33"/>
      <c r="AC749" s="33"/>
      <c r="AD749" s="33"/>
      <c r="AE749" s="33"/>
    </row>
    <row r="750" spans="1:31" hidden="1" x14ac:dyDescent="0.25">
      <c r="A750" s="3">
        <v>8</v>
      </c>
      <c r="B750" s="3">
        <v>2</v>
      </c>
      <c r="C750" s="3">
        <v>7</v>
      </c>
      <c r="D750" s="3"/>
      <c r="E750" s="3"/>
      <c r="F750" s="3" t="s">
        <v>433</v>
      </c>
      <c r="G750" s="3"/>
      <c r="H750" s="5"/>
      <c r="I750" s="5"/>
      <c r="J750" s="5"/>
      <c r="K750" s="5"/>
      <c r="L750" s="5"/>
      <c r="M750" s="5"/>
      <c r="N750" s="5"/>
      <c r="O750" s="3"/>
      <c r="P750" s="3"/>
      <c r="Q750" s="3"/>
      <c r="R750" s="3"/>
      <c r="S750" s="3"/>
      <c r="T750" s="3"/>
      <c r="U750" s="3"/>
      <c r="V750" s="5"/>
      <c r="W750" s="5"/>
      <c r="X750" s="3"/>
      <c r="Y750" s="5"/>
      <c r="Z750" s="5"/>
      <c r="AA750" s="5"/>
      <c r="AB750" s="33"/>
      <c r="AC750" s="33"/>
      <c r="AD750" s="33"/>
      <c r="AE750" s="33"/>
    </row>
    <row r="751" spans="1:31" hidden="1" x14ac:dyDescent="0.25">
      <c r="A751" s="1">
        <v>9</v>
      </c>
      <c r="B751" s="1"/>
      <c r="C751" s="1"/>
      <c r="D751" s="1"/>
      <c r="E751" s="1"/>
      <c r="F751" s="1" t="s">
        <v>434</v>
      </c>
      <c r="G751" s="1"/>
      <c r="H751" s="5"/>
      <c r="I751" s="5"/>
      <c r="J751" s="5"/>
      <c r="K751" s="5"/>
      <c r="L751" s="5"/>
      <c r="M751" s="5"/>
      <c r="N751" s="5"/>
      <c r="O751" s="1"/>
      <c r="P751" s="1"/>
      <c r="Q751" s="1"/>
      <c r="R751" s="1"/>
      <c r="S751" s="1"/>
      <c r="T751" s="1"/>
      <c r="U751" s="1"/>
      <c r="V751" s="5"/>
      <c r="W751" s="5"/>
      <c r="X751" s="1"/>
      <c r="Y751" s="5"/>
      <c r="Z751" s="5"/>
      <c r="AA751" s="5"/>
      <c r="AB751" s="33"/>
      <c r="AC751" s="33"/>
      <c r="AD751" s="33"/>
      <c r="AE751" s="33"/>
    </row>
    <row r="752" spans="1:31" hidden="1" x14ac:dyDescent="0.25">
      <c r="A752" s="2">
        <v>9</v>
      </c>
      <c r="B752" s="2">
        <v>1</v>
      </c>
      <c r="C752" s="2"/>
      <c r="D752" s="2"/>
      <c r="E752" s="2"/>
      <c r="F752" s="2" t="s">
        <v>435</v>
      </c>
      <c r="G752" s="2"/>
      <c r="H752" s="5"/>
      <c r="I752" s="5"/>
      <c r="J752" s="5"/>
      <c r="K752" s="5"/>
      <c r="L752" s="5"/>
      <c r="M752" s="5"/>
      <c r="N752" s="5"/>
      <c r="O752" s="2"/>
      <c r="P752" s="2"/>
      <c r="Q752" s="2"/>
      <c r="R752" s="2"/>
      <c r="S752" s="2"/>
      <c r="T752" s="2"/>
      <c r="U752" s="2"/>
      <c r="V752" s="5"/>
      <c r="W752" s="5"/>
      <c r="X752" s="2"/>
      <c r="Y752" s="5"/>
      <c r="Z752" s="5"/>
      <c r="AA752" s="5"/>
      <c r="AB752" s="33"/>
      <c r="AC752" s="33"/>
      <c r="AD752" s="33"/>
      <c r="AE752" s="33"/>
    </row>
    <row r="753" spans="1:31" hidden="1" x14ac:dyDescent="0.25">
      <c r="A753" s="2">
        <v>9</v>
      </c>
      <c r="B753" s="2">
        <v>2</v>
      </c>
      <c r="C753" s="2"/>
      <c r="D753" s="2"/>
      <c r="E753" s="2"/>
      <c r="F753" s="2" t="s">
        <v>436</v>
      </c>
      <c r="G753" s="2"/>
      <c r="H753" s="5"/>
      <c r="I753" s="5"/>
      <c r="J753" s="5"/>
      <c r="K753" s="5"/>
      <c r="L753" s="5"/>
      <c r="M753" s="5"/>
      <c r="N753" s="5"/>
      <c r="O753" s="2"/>
      <c r="P753" s="2"/>
      <c r="Q753" s="2"/>
      <c r="R753" s="2"/>
      <c r="S753" s="2"/>
      <c r="T753" s="2"/>
      <c r="U753" s="2"/>
      <c r="V753" s="5"/>
      <c r="W753" s="5"/>
      <c r="X753" s="2"/>
      <c r="Y753" s="5"/>
      <c r="Z753" s="5"/>
      <c r="AA753" s="5"/>
      <c r="AB753" s="33"/>
      <c r="AC753" s="33"/>
      <c r="AD753" s="33"/>
      <c r="AE753" s="33"/>
    </row>
    <row r="754" spans="1:31" hidden="1" x14ac:dyDescent="0.25">
      <c r="A754" s="42">
        <v>9</v>
      </c>
      <c r="B754" s="42">
        <v>3</v>
      </c>
      <c r="C754" s="42"/>
      <c r="D754" s="42"/>
      <c r="E754" s="42"/>
      <c r="F754" s="42" t="s">
        <v>437</v>
      </c>
      <c r="G754" s="42"/>
      <c r="H754" s="5"/>
      <c r="I754" s="5"/>
      <c r="J754" s="5"/>
      <c r="K754" s="5"/>
      <c r="L754" s="5"/>
      <c r="M754" s="5"/>
      <c r="N754" s="5"/>
      <c r="O754" s="42"/>
      <c r="P754" s="42"/>
      <c r="Q754" s="42"/>
      <c r="R754" s="42"/>
      <c r="S754" s="42"/>
      <c r="T754" s="42"/>
      <c r="U754" s="42"/>
      <c r="V754" s="5"/>
      <c r="W754" s="5"/>
      <c r="X754" s="42"/>
      <c r="Y754" s="5"/>
      <c r="Z754" s="5"/>
      <c r="AA754" s="5"/>
      <c r="AB754" s="33"/>
      <c r="AC754" s="33"/>
      <c r="AD754" s="33"/>
      <c r="AE754" s="33"/>
    </row>
    <row r="755" spans="1:31" x14ac:dyDescent="0.25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</row>
    <row r="756" spans="1:31" x14ac:dyDescent="0.25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</row>
    <row r="757" spans="1:31" x14ac:dyDescent="0.25">
      <c r="A757" s="41">
        <v>1</v>
      </c>
      <c r="B757" s="41" t="s">
        <v>438</v>
      </c>
      <c r="C757" s="41" t="s">
        <v>439</v>
      </c>
      <c r="D757" s="41" t="s">
        <v>440</v>
      </c>
      <c r="E757" s="41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</row>
  </sheetData>
  <mergeCells count="2">
    <mergeCell ref="X1:AA1"/>
    <mergeCell ref="G1:V1"/>
  </mergeCells>
  <hyperlinks>
    <hyperlink ref="A703" location="_ftn1" display="_ftn1"/>
    <hyperlink ref="A757" location="_ftnref1" display="_ftnref1"/>
  </hyperlinks>
  <pageMargins left="0" right="0" top="0" bottom="0" header="0" footer="0"/>
  <pageSetup scale="80" orientation="portrait" r:id="rId1"/>
  <ignoredErrors>
    <ignoredError sqref="AA54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54" customWidth="1"/>
    <col min="2" max="2" width="15.7109375" style="54" customWidth="1"/>
    <col min="3" max="3" width="10.7109375" style="54" customWidth="1"/>
    <col min="4" max="19" width="13.7109375" style="54" customWidth="1"/>
    <col min="20" max="16384" width="11.42578125" style="54"/>
  </cols>
  <sheetData>
    <row r="1" spans="1:19" ht="20.100000000000001" customHeight="1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3"/>
    </row>
    <row r="2" spans="1:19" ht="20.100000000000001" customHeight="1" x14ac:dyDescent="0.25">
      <c r="A2" s="55"/>
      <c r="B2" s="56"/>
      <c r="C2" s="56"/>
      <c r="D2" s="56"/>
      <c r="E2" s="56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8"/>
    </row>
    <row r="3" spans="1:19" ht="20.100000000000001" customHeight="1" x14ac:dyDescent="0.25">
      <c r="A3" s="55"/>
      <c r="B3" s="57"/>
      <c r="C3" s="57"/>
      <c r="D3" s="56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375"/>
      <c r="S3" s="376"/>
    </row>
    <row r="4" spans="1:19" ht="20.100000000000001" customHeight="1" x14ac:dyDescent="0.25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1"/>
    </row>
    <row r="5" spans="1:19" ht="20.100000000000001" customHeight="1" x14ac:dyDescent="0.25">
      <c r="R5" s="57"/>
      <c r="S5" s="58"/>
    </row>
    <row r="6" spans="1:19" ht="20.100000000000001" customHeight="1" x14ac:dyDescent="0.25">
      <c r="A6" s="62" t="s">
        <v>717</v>
      </c>
      <c r="B6" s="63"/>
      <c r="C6" s="377" t="s">
        <v>718</v>
      </c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9"/>
    </row>
    <row r="7" spans="1:19" ht="20.100000000000001" customHeight="1" x14ac:dyDescent="0.25">
      <c r="A7" s="62" t="s">
        <v>719</v>
      </c>
      <c r="B7" s="63"/>
      <c r="C7" s="62" t="s">
        <v>720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3"/>
    </row>
    <row r="8" spans="1:19" ht="20.100000000000001" customHeight="1" x14ac:dyDescent="0.25">
      <c r="A8" s="62" t="s">
        <v>721</v>
      </c>
      <c r="B8" s="63"/>
      <c r="C8" s="62" t="s">
        <v>722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3"/>
    </row>
    <row r="9" spans="1:19" ht="20.100000000000001" customHeight="1" x14ac:dyDescent="0.25">
      <c r="A9" s="62" t="s">
        <v>723</v>
      </c>
      <c r="B9" s="63"/>
      <c r="C9" s="62" t="s">
        <v>724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3"/>
    </row>
    <row r="10" spans="1:19" ht="9.9499999999999993" customHeight="1" x14ac:dyDescent="0.25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6"/>
      <c r="S10" s="67"/>
    </row>
    <row r="11" spans="1:19" ht="20.100000000000001" customHeight="1" x14ac:dyDescent="0.25">
      <c r="A11" s="380" t="s">
        <v>725</v>
      </c>
      <c r="B11" s="381" t="s">
        <v>726</v>
      </c>
      <c r="C11" s="382"/>
      <c r="D11" s="385" t="s">
        <v>727</v>
      </c>
      <c r="E11" s="387" t="s">
        <v>728</v>
      </c>
      <c r="F11" s="388"/>
      <c r="G11" s="388"/>
      <c r="H11" s="388"/>
      <c r="I11" s="388"/>
      <c r="J11" s="388"/>
      <c r="K11" s="388"/>
      <c r="L11" s="388"/>
      <c r="M11" s="388"/>
      <c r="N11" s="388"/>
      <c r="O11" s="388"/>
      <c r="P11" s="388"/>
      <c r="Q11" s="388"/>
      <c r="R11" s="388"/>
      <c r="S11" s="388"/>
    </row>
    <row r="12" spans="1:19" ht="20.100000000000001" customHeight="1" x14ac:dyDescent="0.25">
      <c r="A12" s="380"/>
      <c r="B12" s="383"/>
      <c r="C12" s="384"/>
      <c r="D12" s="386"/>
      <c r="E12" s="68" t="s">
        <v>729</v>
      </c>
      <c r="F12" s="68" t="s">
        <v>730</v>
      </c>
      <c r="G12" s="68" t="s">
        <v>731</v>
      </c>
      <c r="H12" s="68" t="s">
        <v>732</v>
      </c>
      <c r="I12" s="68" t="s">
        <v>733</v>
      </c>
      <c r="J12" s="68" t="s">
        <v>734</v>
      </c>
      <c r="K12" s="68" t="s">
        <v>735</v>
      </c>
      <c r="L12" s="68" t="s">
        <v>736</v>
      </c>
      <c r="M12" s="68" t="s">
        <v>737</v>
      </c>
      <c r="N12" s="68" t="s">
        <v>738</v>
      </c>
      <c r="O12" s="68"/>
      <c r="P12" s="68" t="s">
        <v>737</v>
      </c>
      <c r="Q12" s="68" t="s">
        <v>738</v>
      </c>
      <c r="R12" s="68" t="s">
        <v>739</v>
      </c>
      <c r="S12" s="69" t="s">
        <v>740</v>
      </c>
    </row>
    <row r="13" spans="1:19" s="72" customFormat="1" ht="9" customHeight="1" x14ac:dyDescent="0.25">
      <c r="A13" s="70"/>
      <c r="B13" s="70"/>
      <c r="C13" s="70"/>
      <c r="D13" s="71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</row>
    <row r="14" spans="1:19" s="72" customFormat="1" ht="24.95" customHeight="1" x14ac:dyDescent="0.25">
      <c r="A14" s="73">
        <v>4500</v>
      </c>
      <c r="B14" s="393" t="s">
        <v>741</v>
      </c>
      <c r="C14" s="394"/>
      <c r="D14" s="74">
        <f>SUM(E14:S14)</f>
        <v>21923082.580000002</v>
      </c>
      <c r="E14" s="75">
        <v>854862.42</v>
      </c>
      <c r="F14" s="75">
        <v>854862.42</v>
      </c>
      <c r="G14" s="75">
        <v>854862.42</v>
      </c>
      <c r="H14" s="75">
        <v>854862.42</v>
      </c>
      <c r="I14" s="75">
        <v>1055774.5</v>
      </c>
      <c r="J14" s="75">
        <v>854862.42</v>
      </c>
      <c r="K14" s="75">
        <v>854862.42</v>
      </c>
      <c r="L14" s="75">
        <v>854862.42</v>
      </c>
      <c r="M14" s="75">
        <v>854862.42</v>
      </c>
      <c r="N14" s="75">
        <v>854862.42</v>
      </c>
      <c r="O14" s="75">
        <f>SUM(E14:N14)</f>
        <v>8749536.2799999993</v>
      </c>
      <c r="P14" s="75">
        <v>854862.42</v>
      </c>
      <c r="Q14" s="75">
        <v>854862.42</v>
      </c>
      <c r="R14" s="75">
        <v>1055774.5</v>
      </c>
      <c r="S14" s="75">
        <v>1658510.68</v>
      </c>
    </row>
    <row r="15" spans="1:19" s="72" customFormat="1" ht="24.95" customHeight="1" x14ac:dyDescent="0.25">
      <c r="A15" s="76"/>
      <c r="B15" s="395"/>
      <c r="C15" s="396"/>
      <c r="D15" s="74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</row>
    <row r="16" spans="1:19" s="72" customFormat="1" ht="24.95" customHeight="1" x14ac:dyDescent="0.25">
      <c r="A16" s="77">
        <v>4200</v>
      </c>
      <c r="B16" s="389" t="s">
        <v>742</v>
      </c>
      <c r="C16" s="390"/>
      <c r="D16" s="74">
        <f>SUM(E16:S16)</f>
        <v>8595600</v>
      </c>
      <c r="E16" s="75">
        <v>358150</v>
      </c>
      <c r="F16" s="75">
        <v>358150</v>
      </c>
      <c r="G16" s="75">
        <v>358150</v>
      </c>
      <c r="H16" s="75">
        <v>358150</v>
      </c>
      <c r="I16" s="75">
        <v>358150</v>
      </c>
      <c r="J16" s="75">
        <v>358150</v>
      </c>
      <c r="K16" s="75">
        <v>358150</v>
      </c>
      <c r="L16" s="75">
        <v>358150</v>
      </c>
      <c r="M16" s="75">
        <v>358150</v>
      </c>
      <c r="N16" s="75">
        <v>358150</v>
      </c>
      <c r="O16" s="75">
        <f>SUM(E16:N16)</f>
        <v>3581500</v>
      </c>
      <c r="P16" s="75">
        <v>358150</v>
      </c>
      <c r="Q16" s="75">
        <v>358150</v>
      </c>
      <c r="R16" s="75">
        <v>358150</v>
      </c>
      <c r="S16" s="75">
        <v>358150</v>
      </c>
    </row>
    <row r="17" spans="1:19" s="72" customFormat="1" ht="24.95" customHeight="1" x14ac:dyDescent="0.25">
      <c r="A17" s="77"/>
      <c r="B17" s="389"/>
      <c r="C17" s="390"/>
      <c r="D17" s="74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</row>
    <row r="18" spans="1:19" s="72" customFormat="1" ht="24.95" customHeight="1" x14ac:dyDescent="0.25">
      <c r="A18" s="78">
        <v>4300</v>
      </c>
      <c r="B18" s="397" t="s">
        <v>743</v>
      </c>
      <c r="C18" s="398"/>
      <c r="D18" s="74">
        <f>SUM(E18:S18)</f>
        <v>30000</v>
      </c>
      <c r="E18" s="75">
        <v>1250</v>
      </c>
      <c r="F18" s="75">
        <v>1250</v>
      </c>
      <c r="G18" s="75">
        <v>1250</v>
      </c>
      <c r="H18" s="75">
        <v>1250</v>
      </c>
      <c r="I18" s="75">
        <v>1250</v>
      </c>
      <c r="J18" s="75">
        <v>1250</v>
      </c>
      <c r="K18" s="75">
        <v>1250</v>
      </c>
      <c r="L18" s="75">
        <v>1250</v>
      </c>
      <c r="M18" s="75">
        <v>1250</v>
      </c>
      <c r="N18" s="75">
        <v>1250</v>
      </c>
      <c r="O18" s="75">
        <f>SUM(E18:N18)</f>
        <v>12500</v>
      </c>
      <c r="P18" s="75">
        <v>1250</v>
      </c>
      <c r="Q18" s="75">
        <v>1250</v>
      </c>
      <c r="R18" s="75">
        <v>1250</v>
      </c>
      <c r="S18" s="75">
        <v>1250</v>
      </c>
    </row>
    <row r="19" spans="1:19" s="72" customFormat="1" ht="24.95" customHeight="1" x14ac:dyDescent="0.25">
      <c r="A19" s="77"/>
      <c r="B19" s="389"/>
      <c r="C19" s="390"/>
      <c r="D19" s="74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</row>
    <row r="20" spans="1:19" s="72" customFormat="1" ht="24.95" customHeight="1" x14ac:dyDescent="0.25">
      <c r="A20" s="77">
        <v>4400</v>
      </c>
      <c r="B20" s="389" t="s">
        <v>744</v>
      </c>
      <c r="C20" s="390"/>
      <c r="D20" s="74">
        <f>SUM(E20:S20)</f>
        <v>360000</v>
      </c>
      <c r="E20" s="75">
        <v>15000</v>
      </c>
      <c r="F20" s="75">
        <v>15000</v>
      </c>
      <c r="G20" s="75">
        <v>15000</v>
      </c>
      <c r="H20" s="75">
        <v>15000</v>
      </c>
      <c r="I20" s="75">
        <v>15000</v>
      </c>
      <c r="J20" s="75">
        <v>15000</v>
      </c>
      <c r="K20" s="75">
        <v>15000</v>
      </c>
      <c r="L20" s="75">
        <v>15000</v>
      </c>
      <c r="M20" s="75">
        <v>15000</v>
      </c>
      <c r="N20" s="75">
        <v>15000</v>
      </c>
      <c r="O20" s="75">
        <f>SUM(E20:N20)</f>
        <v>150000</v>
      </c>
      <c r="P20" s="75">
        <v>15000</v>
      </c>
      <c r="Q20" s="75">
        <v>15000</v>
      </c>
      <c r="R20" s="75">
        <v>15000</v>
      </c>
      <c r="S20" s="75">
        <v>15000</v>
      </c>
    </row>
    <row r="21" spans="1:19" s="72" customFormat="1" ht="24.95" customHeight="1" x14ac:dyDescent="0.25">
      <c r="A21" s="77"/>
      <c r="B21" s="389"/>
      <c r="C21" s="390"/>
      <c r="D21" s="74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</row>
    <row r="22" spans="1:19" s="72" customFormat="1" ht="9.9499999999999993" customHeight="1" x14ac:dyDescent="0.25">
      <c r="A22" s="391"/>
      <c r="B22" s="391"/>
      <c r="C22" s="391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1"/>
      <c r="P22" s="391"/>
      <c r="Q22" s="391"/>
      <c r="R22" s="391"/>
      <c r="S22" s="391"/>
    </row>
    <row r="23" spans="1:19" s="72" customFormat="1" ht="24.95" customHeight="1" x14ac:dyDescent="0.25">
      <c r="A23" s="387" t="s">
        <v>687</v>
      </c>
      <c r="B23" s="388"/>
      <c r="C23" s="392"/>
      <c r="D23" s="79">
        <f t="shared" ref="D23:S23" si="0">SUM(D14:D21)</f>
        <v>30908682.580000002</v>
      </c>
      <c r="E23" s="79">
        <f t="shared" si="0"/>
        <v>1229262.42</v>
      </c>
      <c r="F23" s="79">
        <f t="shared" si="0"/>
        <v>1229262.42</v>
      </c>
      <c r="G23" s="79">
        <f t="shared" si="0"/>
        <v>1229262.42</v>
      </c>
      <c r="H23" s="79">
        <f t="shared" si="0"/>
        <v>1229262.42</v>
      </c>
      <c r="I23" s="79">
        <f t="shared" si="0"/>
        <v>1430174.5</v>
      </c>
      <c r="J23" s="79">
        <f t="shared" si="0"/>
        <v>1229262.42</v>
      </c>
      <c r="K23" s="79">
        <f t="shared" si="0"/>
        <v>1229262.42</v>
      </c>
      <c r="L23" s="79">
        <f t="shared" si="0"/>
        <v>1229262.42</v>
      </c>
      <c r="M23" s="79">
        <f t="shared" si="0"/>
        <v>1229262.42</v>
      </c>
      <c r="N23" s="79">
        <f t="shared" si="0"/>
        <v>1229262.42</v>
      </c>
      <c r="O23" s="79">
        <f t="shared" si="0"/>
        <v>12493536.279999999</v>
      </c>
      <c r="P23" s="79">
        <f t="shared" si="0"/>
        <v>1229262.42</v>
      </c>
      <c r="Q23" s="79">
        <f t="shared" si="0"/>
        <v>1229262.42</v>
      </c>
      <c r="R23" s="79">
        <f t="shared" si="0"/>
        <v>1430174.5</v>
      </c>
      <c r="S23" s="79">
        <f t="shared" si="0"/>
        <v>2032910.68</v>
      </c>
    </row>
    <row r="24" spans="1:19" s="72" customFormat="1" ht="20.100000000000001" customHeight="1" x14ac:dyDescent="0.25">
      <c r="A24" s="80"/>
      <c r="B24" s="80"/>
      <c r="C24" s="80"/>
      <c r="D24" s="81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</row>
    <row r="25" spans="1:19" s="72" customFormat="1" ht="20.100000000000001" customHeight="1" x14ac:dyDescent="0.25">
      <c r="A25" s="80"/>
      <c r="B25" s="80"/>
      <c r="C25" s="80"/>
      <c r="D25" s="83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</row>
    <row r="26" spans="1:19" s="72" customFormat="1" ht="20.100000000000001" customHeight="1" x14ac:dyDescent="0.25">
      <c r="A26" s="80"/>
      <c r="B26" s="80"/>
      <c r="C26" s="80"/>
      <c r="D26" s="84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</row>
    <row r="27" spans="1:19" s="72" customFormat="1" ht="20.100000000000001" customHeight="1" x14ac:dyDescent="0.25">
      <c r="A27" s="80"/>
      <c r="B27" s="80"/>
      <c r="C27" s="80"/>
      <c r="D27" s="84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</row>
    <row r="28" spans="1:19" s="72" customFormat="1" ht="20.100000000000001" customHeight="1" x14ac:dyDescent="0.25">
      <c r="A28" s="80"/>
      <c r="B28" s="80"/>
      <c r="C28" s="80"/>
      <c r="D28" s="84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</row>
    <row r="29" spans="1:19" s="72" customFormat="1" ht="20.100000000000001" customHeight="1" x14ac:dyDescent="0.25">
      <c r="A29" s="80"/>
      <c r="B29" s="80"/>
      <c r="C29" s="80"/>
      <c r="D29" s="84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</row>
    <row r="30" spans="1:19" s="72" customFormat="1" ht="20.100000000000001" customHeight="1" x14ac:dyDescent="0.25">
      <c r="A30" s="85"/>
      <c r="B30" s="85"/>
      <c r="C30" s="85"/>
      <c r="D30" s="85"/>
    </row>
    <row r="31" spans="1:19" s="72" customFormat="1" x14ac:dyDescent="0.25">
      <c r="A31" s="85"/>
      <c r="B31" s="85"/>
      <c r="C31" s="85"/>
      <c r="D31" s="85"/>
    </row>
    <row r="32" spans="1:19" s="72" customFormat="1" x14ac:dyDescent="0.25">
      <c r="A32" s="85"/>
      <c r="B32" s="85"/>
      <c r="C32" s="85"/>
      <c r="D32" s="85"/>
    </row>
    <row r="33" spans="1:4" s="72" customFormat="1" x14ac:dyDescent="0.25">
      <c r="A33" s="85"/>
      <c r="B33" s="85"/>
      <c r="C33" s="85"/>
      <c r="D33" s="85"/>
    </row>
    <row r="34" spans="1:4" s="72" customFormat="1" x14ac:dyDescent="0.25"/>
    <row r="35" spans="1:4" s="72" customFormat="1" x14ac:dyDescent="0.25"/>
    <row r="36" spans="1:4" s="72" customFormat="1" x14ac:dyDescent="0.25"/>
    <row r="37" spans="1:4" s="72" customFormat="1" x14ac:dyDescent="0.25"/>
    <row r="38" spans="1:4" s="72" customFormat="1" x14ac:dyDescent="0.25"/>
    <row r="39" spans="1:4" s="72" customFormat="1" x14ac:dyDescent="0.25"/>
    <row r="40" spans="1:4" s="72" customFormat="1" x14ac:dyDescent="0.25"/>
    <row r="41" spans="1:4" s="72" customFormat="1" x14ac:dyDescent="0.25"/>
  </sheetData>
  <mergeCells count="16"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  <mergeCell ref="R3:S3"/>
    <mergeCell ref="C6:S6"/>
    <mergeCell ref="A11:A12"/>
    <mergeCell ref="B11:C12"/>
    <mergeCell ref="D11:D12"/>
    <mergeCell ref="E11:S11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54" customWidth="1"/>
    <col min="2" max="2" width="23.7109375" style="54" customWidth="1"/>
    <col min="3" max="3" width="17.7109375" style="54" customWidth="1"/>
    <col min="4" max="4" width="15" style="54" customWidth="1"/>
    <col min="5" max="5" width="12.28515625" style="54" hidden="1" customWidth="1"/>
    <col min="6" max="6" width="13.140625" style="54" hidden="1" customWidth="1"/>
    <col min="7" max="22" width="13.85546875" style="54" hidden="1" customWidth="1"/>
    <col min="23" max="23" width="12.28515625" style="54" hidden="1" customWidth="1"/>
    <col min="24" max="24" width="0" style="54" hidden="1" customWidth="1"/>
    <col min="25" max="16384" width="11.42578125" style="54"/>
  </cols>
  <sheetData>
    <row r="1" spans="1:23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3"/>
    </row>
    <row r="2" spans="1:23" ht="15.75" customHeight="1" x14ac:dyDescent="0.25">
      <c r="A2" s="55"/>
      <c r="B2" s="56"/>
      <c r="C2" s="56"/>
      <c r="D2" s="56"/>
      <c r="E2" s="56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8"/>
    </row>
    <row r="3" spans="1:23" ht="15.75" customHeight="1" x14ac:dyDescent="0.25">
      <c r="A3" s="55"/>
      <c r="B3" s="57"/>
      <c r="C3" s="57"/>
      <c r="D3" s="56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375"/>
      <c r="W3" s="376"/>
    </row>
    <row r="4" spans="1:23" x14ac:dyDescent="0.25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1"/>
    </row>
    <row r="5" spans="1:23" ht="6" customHeight="1" x14ac:dyDescent="0.25">
      <c r="V5" s="57"/>
      <c r="W5" s="58"/>
    </row>
    <row r="6" spans="1:23" ht="13.5" customHeight="1" x14ac:dyDescent="0.25">
      <c r="A6" s="86" t="s">
        <v>717</v>
      </c>
      <c r="B6" s="87"/>
      <c r="C6" s="401" t="s">
        <v>718</v>
      </c>
      <c r="D6" s="402"/>
      <c r="E6" s="402"/>
      <c r="F6" s="402"/>
      <c r="G6" s="402"/>
      <c r="H6" s="403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7"/>
    </row>
    <row r="7" spans="1:23" ht="13.5" customHeight="1" x14ac:dyDescent="0.25">
      <c r="A7" s="86" t="s">
        <v>719</v>
      </c>
      <c r="B7" s="87"/>
      <c r="C7" s="86" t="s">
        <v>720</v>
      </c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7"/>
    </row>
    <row r="8" spans="1:23" ht="13.5" customHeight="1" x14ac:dyDescent="0.25">
      <c r="A8" s="86" t="s">
        <v>721</v>
      </c>
      <c r="B8" s="87"/>
      <c r="C8" s="89" t="s">
        <v>745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7"/>
    </row>
    <row r="9" spans="1:23" ht="13.5" customHeight="1" x14ac:dyDescent="0.25">
      <c r="A9" s="86" t="s">
        <v>723</v>
      </c>
      <c r="B9" s="87"/>
      <c r="C9" s="86" t="s">
        <v>724</v>
      </c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7"/>
    </row>
    <row r="10" spans="1:23" ht="6" customHeight="1" x14ac:dyDescent="0.25">
      <c r="V10" s="60"/>
      <c r="W10" s="61"/>
    </row>
    <row r="11" spans="1:23" ht="12.75" customHeight="1" x14ac:dyDescent="0.25">
      <c r="A11" s="404" t="s">
        <v>725</v>
      </c>
      <c r="B11" s="405" t="s">
        <v>726</v>
      </c>
      <c r="C11" s="406"/>
      <c r="D11" s="409" t="s">
        <v>746</v>
      </c>
      <c r="E11" s="411" t="s">
        <v>728</v>
      </c>
      <c r="F11" s="412"/>
      <c r="G11" s="412"/>
      <c r="H11" s="412"/>
      <c r="I11" s="412"/>
      <c r="J11" s="412"/>
      <c r="K11" s="412"/>
      <c r="L11" s="412"/>
      <c r="M11" s="412"/>
      <c r="N11" s="412"/>
      <c r="O11" s="412"/>
      <c r="P11" s="412"/>
      <c r="Q11" s="412"/>
      <c r="R11" s="412"/>
      <c r="S11" s="412"/>
      <c r="T11" s="412"/>
      <c r="U11" s="412"/>
      <c r="V11" s="412"/>
      <c r="W11" s="412"/>
    </row>
    <row r="12" spans="1:23" ht="27.75" customHeight="1" x14ac:dyDescent="0.25">
      <c r="A12" s="404"/>
      <c r="B12" s="407"/>
      <c r="C12" s="408"/>
      <c r="D12" s="410"/>
      <c r="E12" s="90" t="s">
        <v>729</v>
      </c>
      <c r="F12" s="90" t="s">
        <v>730</v>
      </c>
      <c r="G12" s="90" t="s">
        <v>731</v>
      </c>
      <c r="H12" s="90" t="s">
        <v>732</v>
      </c>
      <c r="I12" s="90" t="s">
        <v>733</v>
      </c>
      <c r="J12" s="90" t="s">
        <v>734</v>
      </c>
      <c r="K12" s="90" t="s">
        <v>735</v>
      </c>
      <c r="L12" s="90" t="s">
        <v>736</v>
      </c>
      <c r="M12" s="90" t="s">
        <v>737</v>
      </c>
      <c r="N12" s="90" t="s">
        <v>738</v>
      </c>
      <c r="O12" s="90"/>
      <c r="P12" s="90"/>
      <c r="Q12" s="90"/>
      <c r="R12" s="90"/>
      <c r="S12" s="90"/>
      <c r="T12" s="90" t="s">
        <v>737</v>
      </c>
      <c r="U12" s="90" t="s">
        <v>738</v>
      </c>
      <c r="V12" s="90" t="s">
        <v>739</v>
      </c>
      <c r="W12" s="91" t="s">
        <v>740</v>
      </c>
    </row>
    <row r="13" spans="1:23" s="72" customFormat="1" ht="12.75" customHeight="1" x14ac:dyDescent="0.25">
      <c r="A13" s="85"/>
      <c r="B13" s="85"/>
      <c r="C13" s="85"/>
      <c r="D13" s="92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</row>
    <row r="14" spans="1:23" s="72" customFormat="1" ht="12.75" customHeight="1" x14ac:dyDescent="0.25">
      <c r="A14" s="85"/>
      <c r="B14" s="85"/>
      <c r="C14" s="85"/>
      <c r="D14" s="93">
        <f>+D15+D16+D17+D21</f>
        <v>11463821.459999997</v>
      </c>
      <c r="E14" s="93">
        <f t="shared" ref="E14:W14" si="0">+E15+E16+E17+E21</f>
        <v>854862.41999999993</v>
      </c>
      <c r="F14" s="93">
        <f t="shared" si="0"/>
        <v>854862.41999999993</v>
      </c>
      <c r="G14" s="93">
        <f t="shared" si="0"/>
        <v>854862.41999999993</v>
      </c>
      <c r="H14" s="93">
        <f t="shared" si="0"/>
        <v>854862.41999999993</v>
      </c>
      <c r="I14" s="93">
        <f t="shared" si="0"/>
        <v>1055774.4999999998</v>
      </c>
      <c r="J14" s="93">
        <f t="shared" si="0"/>
        <v>854862.41999999993</v>
      </c>
      <c r="K14" s="93">
        <f t="shared" si="0"/>
        <v>854862.41999999993</v>
      </c>
      <c r="L14" s="93">
        <f t="shared" ref="L14:R14" si="1">+L15+L16+L17+L21</f>
        <v>854862.41999999993</v>
      </c>
      <c r="M14" s="93">
        <f t="shared" si="1"/>
        <v>854862.41999999993</v>
      </c>
      <c r="N14" s="93">
        <f t="shared" si="1"/>
        <v>854862.41999999993</v>
      </c>
      <c r="O14" s="93">
        <f t="shared" si="1"/>
        <v>854862.41999999993</v>
      </c>
      <c r="P14" s="93">
        <f t="shared" si="1"/>
        <v>854862.41999999993</v>
      </c>
      <c r="Q14" s="93">
        <f t="shared" si="1"/>
        <v>1055774.4999999998</v>
      </c>
      <c r="R14" s="93">
        <f t="shared" si="1"/>
        <v>1658510.6799999997</v>
      </c>
      <c r="S14" s="92">
        <f>SUM(E14:R14)</f>
        <v>13173546.299999999</v>
      </c>
      <c r="T14" s="93">
        <f t="shared" si="0"/>
        <v>854862.41999999993</v>
      </c>
      <c r="U14" s="93">
        <f t="shared" si="0"/>
        <v>854862.41999999993</v>
      </c>
      <c r="V14" s="93">
        <f t="shared" si="0"/>
        <v>1055774.4999999998</v>
      </c>
      <c r="W14" s="93">
        <f t="shared" si="0"/>
        <v>1658510.6799999997</v>
      </c>
    </row>
    <row r="15" spans="1:23" s="72" customFormat="1" ht="12.75" customHeight="1" x14ac:dyDescent="0.25">
      <c r="A15" s="94">
        <v>1131</v>
      </c>
      <c r="B15" s="413" t="s">
        <v>747</v>
      </c>
      <c r="C15" s="414"/>
      <c r="D15" s="95">
        <f>+E15+F15+G15+H15+I15+J15+K15+M15+T15+U15+V15+W15</f>
        <v>7585943.2799999975</v>
      </c>
      <c r="E15" s="96">
        <v>632161.93999999994</v>
      </c>
      <c r="F15" s="96">
        <v>632161.93999999994</v>
      </c>
      <c r="G15" s="96">
        <v>632161.93999999994</v>
      </c>
      <c r="H15" s="96">
        <v>632161.93999999994</v>
      </c>
      <c r="I15" s="96">
        <v>632161.93999999994</v>
      </c>
      <c r="J15" s="96">
        <v>632161.93999999994</v>
      </c>
      <c r="K15" s="96">
        <v>632161.93999999994</v>
      </c>
      <c r="L15" s="96">
        <v>632161.93999999994</v>
      </c>
      <c r="M15" s="96">
        <v>632161.93999999994</v>
      </c>
      <c r="N15" s="96">
        <v>632161.93999999994</v>
      </c>
      <c r="O15" s="96">
        <v>632161.93999999994</v>
      </c>
      <c r="P15" s="96">
        <v>632161.93999999994</v>
      </c>
      <c r="Q15" s="96">
        <v>632161.93999999994</v>
      </c>
      <c r="R15" s="96">
        <v>632161.93999999994</v>
      </c>
      <c r="S15" s="92">
        <f t="shared" ref="S15:S78" si="2">SUM(E15:R15)</f>
        <v>8850267.1599999964</v>
      </c>
      <c r="T15" s="96">
        <v>632161.93999999994</v>
      </c>
      <c r="U15" s="96">
        <v>632161.93999999994</v>
      </c>
      <c r="V15" s="96">
        <v>632161.93999999994</v>
      </c>
      <c r="W15" s="96">
        <v>632161.93999999994</v>
      </c>
    </row>
    <row r="16" spans="1:23" s="72" customFormat="1" ht="12.75" customHeight="1" x14ac:dyDescent="0.25">
      <c r="A16" s="97">
        <v>1211</v>
      </c>
      <c r="B16" s="399" t="s">
        <v>748</v>
      </c>
      <c r="C16" s="400"/>
      <c r="D16" s="95">
        <f>+E16+F16+G16+H16+I16+J16+K16+M16+T16+U16+V16+W16</f>
        <v>1388309.5199999998</v>
      </c>
      <c r="E16" s="96">
        <v>115692.46</v>
      </c>
      <c r="F16" s="96">
        <v>115692.46</v>
      </c>
      <c r="G16" s="96">
        <v>115692.46</v>
      </c>
      <c r="H16" s="96">
        <v>115692.46</v>
      </c>
      <c r="I16" s="96">
        <v>115692.46</v>
      </c>
      <c r="J16" s="96">
        <v>115692.46</v>
      </c>
      <c r="K16" s="96">
        <v>115692.46</v>
      </c>
      <c r="L16" s="96">
        <v>115692.46</v>
      </c>
      <c r="M16" s="96">
        <v>115692.46</v>
      </c>
      <c r="N16" s="96">
        <v>115692.46</v>
      </c>
      <c r="O16" s="96">
        <v>115692.46</v>
      </c>
      <c r="P16" s="96">
        <v>115692.46</v>
      </c>
      <c r="Q16" s="96">
        <v>115692.46</v>
      </c>
      <c r="R16" s="96">
        <v>115692.46</v>
      </c>
      <c r="S16" s="92">
        <f t="shared" si="2"/>
        <v>1619694.4399999997</v>
      </c>
      <c r="T16" s="96">
        <v>115692.46</v>
      </c>
      <c r="U16" s="96">
        <v>115692.46</v>
      </c>
      <c r="V16" s="96">
        <v>115692.46</v>
      </c>
      <c r="W16" s="96">
        <v>115692.46</v>
      </c>
    </row>
    <row r="17" spans="1:23" s="72" customFormat="1" ht="12.75" customHeight="1" x14ac:dyDescent="0.25">
      <c r="A17" s="97"/>
      <c r="B17" s="98"/>
      <c r="C17" s="99"/>
      <c r="D17" s="100">
        <f>+D18+D19+D20</f>
        <v>1205472.48</v>
      </c>
      <c r="E17" s="100">
        <f t="shared" ref="E17:W17" si="3">+E18+E19+E20</f>
        <v>0</v>
      </c>
      <c r="F17" s="100">
        <f t="shared" si="3"/>
        <v>0</v>
      </c>
      <c r="G17" s="100">
        <f t="shared" si="3"/>
        <v>0</v>
      </c>
      <c r="H17" s="100">
        <f t="shared" si="3"/>
        <v>0</v>
      </c>
      <c r="I17" s="100">
        <f t="shared" si="3"/>
        <v>200912.08</v>
      </c>
      <c r="J17" s="100">
        <f t="shared" si="3"/>
        <v>0</v>
      </c>
      <c r="K17" s="100">
        <f t="shared" si="3"/>
        <v>0</v>
      </c>
      <c r="L17" s="100">
        <f t="shared" ref="L17:R17" si="4">+L18+L19+L20</f>
        <v>0</v>
      </c>
      <c r="M17" s="100">
        <f t="shared" si="4"/>
        <v>0</v>
      </c>
      <c r="N17" s="100">
        <f t="shared" si="4"/>
        <v>0</v>
      </c>
      <c r="O17" s="100">
        <f t="shared" si="4"/>
        <v>0</v>
      </c>
      <c r="P17" s="100">
        <f t="shared" si="4"/>
        <v>0</v>
      </c>
      <c r="Q17" s="100">
        <f t="shared" si="4"/>
        <v>200912.08</v>
      </c>
      <c r="R17" s="100">
        <f t="shared" si="4"/>
        <v>803648.32</v>
      </c>
      <c r="S17" s="92">
        <f t="shared" si="2"/>
        <v>1205472.48</v>
      </c>
      <c r="T17" s="100">
        <f t="shared" si="3"/>
        <v>0</v>
      </c>
      <c r="U17" s="100">
        <f t="shared" si="3"/>
        <v>0</v>
      </c>
      <c r="V17" s="100">
        <f t="shared" si="3"/>
        <v>200912.08</v>
      </c>
      <c r="W17" s="100">
        <f t="shared" si="3"/>
        <v>803648.32</v>
      </c>
    </row>
    <row r="18" spans="1:23" s="72" customFormat="1" ht="12.75" customHeight="1" x14ac:dyDescent="0.25">
      <c r="A18" s="97">
        <v>1322</v>
      </c>
      <c r="B18" s="399" t="s">
        <v>749</v>
      </c>
      <c r="C18" s="400"/>
      <c r="D18" s="95">
        <f>+E18+F18+G18+H18+I18+J18+K18+M18+T18+U18+V18+W18</f>
        <v>401824.16</v>
      </c>
      <c r="E18" s="96">
        <v>0</v>
      </c>
      <c r="F18" s="96">
        <v>0</v>
      </c>
      <c r="G18" s="96">
        <v>0</v>
      </c>
      <c r="H18" s="96">
        <v>0</v>
      </c>
      <c r="I18" s="96">
        <v>200912.08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200912.08</v>
      </c>
      <c r="R18" s="96">
        <v>0</v>
      </c>
      <c r="S18" s="92">
        <f t="shared" si="2"/>
        <v>401824.16</v>
      </c>
      <c r="T18" s="96">
        <v>0</v>
      </c>
      <c r="U18" s="96">
        <v>0</v>
      </c>
      <c r="V18" s="96">
        <v>200912.08</v>
      </c>
      <c r="W18" s="96">
        <v>0</v>
      </c>
    </row>
    <row r="19" spans="1:23" s="72" customFormat="1" ht="12.75" customHeight="1" x14ac:dyDescent="0.25">
      <c r="A19" s="97">
        <v>1328</v>
      </c>
      <c r="B19" s="399" t="s">
        <v>750</v>
      </c>
      <c r="C19" s="400"/>
      <c r="D19" s="95">
        <f>+E19+F19+G19+H19+I19+J19+K19+M19+T19+U19+V19+W19</f>
        <v>803648.32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803648.32</v>
      </c>
      <c r="S19" s="92">
        <f t="shared" si="2"/>
        <v>803648.32</v>
      </c>
      <c r="T19" s="96">
        <v>0</v>
      </c>
      <c r="U19" s="96">
        <v>0</v>
      </c>
      <c r="V19" s="96">
        <v>0</v>
      </c>
      <c r="W19" s="96">
        <v>803648.32</v>
      </c>
    </row>
    <row r="20" spans="1:23" s="72" customFormat="1" ht="12.75" customHeight="1" x14ac:dyDescent="0.25">
      <c r="A20" s="97">
        <v>1342</v>
      </c>
      <c r="B20" s="399" t="s">
        <v>751</v>
      </c>
      <c r="C20" s="400"/>
      <c r="D20" s="95">
        <f>+E20+F20+G20+H20+I20+J20+K20+M20+T20+U20+V20+W20</f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2">
        <f t="shared" si="2"/>
        <v>0</v>
      </c>
      <c r="T20" s="96">
        <v>0</v>
      </c>
      <c r="U20" s="96">
        <v>0</v>
      </c>
      <c r="V20" s="96">
        <v>0</v>
      </c>
      <c r="W20" s="96">
        <v>0</v>
      </c>
    </row>
    <row r="21" spans="1:23" s="72" customFormat="1" ht="12.75" customHeight="1" x14ac:dyDescent="0.25">
      <c r="A21" s="97"/>
      <c r="B21" s="98"/>
      <c r="C21" s="99"/>
      <c r="D21" s="100">
        <f>+D22+D23</f>
        <v>1284096.18</v>
      </c>
      <c r="E21" s="100">
        <f t="shared" ref="E21:W21" si="5">+E22+E23</f>
        <v>107008.02</v>
      </c>
      <c r="F21" s="100">
        <f t="shared" si="5"/>
        <v>107008.02</v>
      </c>
      <c r="G21" s="100">
        <f t="shared" si="5"/>
        <v>107008.02</v>
      </c>
      <c r="H21" s="100">
        <f t="shared" si="5"/>
        <v>107008.02</v>
      </c>
      <c r="I21" s="100">
        <f t="shared" si="5"/>
        <v>107008.02</v>
      </c>
      <c r="J21" s="100">
        <f t="shared" si="5"/>
        <v>107008.02</v>
      </c>
      <c r="K21" s="100">
        <f t="shared" si="5"/>
        <v>107008.02</v>
      </c>
      <c r="L21" s="100">
        <f t="shared" ref="L21:R21" si="6">+L22+L23</f>
        <v>107008.02</v>
      </c>
      <c r="M21" s="100">
        <f t="shared" si="6"/>
        <v>107008.02</v>
      </c>
      <c r="N21" s="100">
        <f t="shared" si="6"/>
        <v>107008.02</v>
      </c>
      <c r="O21" s="100">
        <f t="shared" si="6"/>
        <v>107008.02</v>
      </c>
      <c r="P21" s="100">
        <f t="shared" si="6"/>
        <v>107008.02</v>
      </c>
      <c r="Q21" s="100">
        <f t="shared" si="6"/>
        <v>107008.02</v>
      </c>
      <c r="R21" s="100">
        <f t="shared" si="6"/>
        <v>107007.95999999999</v>
      </c>
      <c r="S21" s="92">
        <f t="shared" si="2"/>
        <v>1498112.22</v>
      </c>
      <c r="T21" s="100">
        <f t="shared" si="5"/>
        <v>107008.02</v>
      </c>
      <c r="U21" s="100">
        <f t="shared" si="5"/>
        <v>107008.02</v>
      </c>
      <c r="V21" s="100">
        <f t="shared" si="5"/>
        <v>107008.02</v>
      </c>
      <c r="W21" s="100">
        <f t="shared" si="5"/>
        <v>107007.95999999999</v>
      </c>
    </row>
    <row r="22" spans="1:23" s="72" customFormat="1" ht="12.75" customHeight="1" x14ac:dyDescent="0.25">
      <c r="A22" s="97">
        <v>1411</v>
      </c>
      <c r="B22" s="399" t="s">
        <v>752</v>
      </c>
      <c r="C22" s="400"/>
      <c r="D22" s="95">
        <f>+E22+F22+G22+H22+I22+J22+K22+M22+T22+U22+V22+W22</f>
        <v>794945.25999999989</v>
      </c>
      <c r="E22" s="96">
        <v>66245.440000000002</v>
      </c>
      <c r="F22" s="96">
        <v>66245.440000000002</v>
      </c>
      <c r="G22" s="96">
        <v>66245.440000000002</v>
      </c>
      <c r="H22" s="96">
        <v>66245.440000000002</v>
      </c>
      <c r="I22" s="96">
        <v>66245.440000000002</v>
      </c>
      <c r="J22" s="96">
        <v>66245.440000000002</v>
      </c>
      <c r="K22" s="96">
        <v>66245.440000000002</v>
      </c>
      <c r="L22" s="96">
        <v>66245.440000000002</v>
      </c>
      <c r="M22" s="96">
        <v>66245.440000000002</v>
      </c>
      <c r="N22" s="96">
        <v>66245.440000000002</v>
      </c>
      <c r="O22" s="96">
        <v>66245.440000000002</v>
      </c>
      <c r="P22" s="96">
        <v>66245.440000000002</v>
      </c>
      <c r="Q22" s="96">
        <v>66245.440000000002</v>
      </c>
      <c r="R22" s="96">
        <v>66245.42</v>
      </c>
      <c r="S22" s="92">
        <f t="shared" si="2"/>
        <v>927436.13999999978</v>
      </c>
      <c r="T22" s="96">
        <v>66245.440000000002</v>
      </c>
      <c r="U22" s="96">
        <v>66245.440000000002</v>
      </c>
      <c r="V22" s="96">
        <v>66245.440000000002</v>
      </c>
      <c r="W22" s="96">
        <v>66245.42</v>
      </c>
    </row>
    <row r="23" spans="1:23" s="72" customFormat="1" ht="12.75" customHeight="1" x14ac:dyDescent="0.25">
      <c r="A23" s="97">
        <v>1412</v>
      </c>
      <c r="B23" s="399" t="s">
        <v>753</v>
      </c>
      <c r="C23" s="400"/>
      <c r="D23" s="95">
        <f>+E23+F23+G23+H23+I23+J23+K23+M23+T23+U23+V23+W23</f>
        <v>489150.9200000001</v>
      </c>
      <c r="E23" s="96">
        <v>40762.58</v>
      </c>
      <c r="F23" s="96">
        <v>40762.58</v>
      </c>
      <c r="G23" s="96">
        <v>40762.58</v>
      </c>
      <c r="H23" s="96">
        <v>40762.58</v>
      </c>
      <c r="I23" s="96">
        <v>40762.58</v>
      </c>
      <c r="J23" s="96">
        <v>40762.58</v>
      </c>
      <c r="K23" s="96">
        <v>40762.58</v>
      </c>
      <c r="L23" s="96">
        <v>40762.58</v>
      </c>
      <c r="M23" s="96">
        <v>40762.58</v>
      </c>
      <c r="N23" s="96">
        <v>40762.58</v>
      </c>
      <c r="O23" s="96">
        <v>40762.58</v>
      </c>
      <c r="P23" s="96">
        <v>40762.58</v>
      </c>
      <c r="Q23" s="96">
        <v>40762.58</v>
      </c>
      <c r="R23" s="96">
        <v>40762.54</v>
      </c>
      <c r="S23" s="92">
        <f t="shared" si="2"/>
        <v>570676.08000000019</v>
      </c>
      <c r="T23" s="96">
        <v>40762.58</v>
      </c>
      <c r="U23" s="96">
        <v>40762.58</v>
      </c>
      <c r="V23" s="96">
        <v>40762.58</v>
      </c>
      <c r="W23" s="96">
        <v>40762.54</v>
      </c>
    </row>
    <row r="24" spans="1:23" s="72" customFormat="1" ht="12.75" customHeight="1" x14ac:dyDescent="0.25">
      <c r="A24" s="97"/>
      <c r="B24" s="98"/>
      <c r="C24" s="99"/>
      <c r="D24" s="100">
        <f>+D25+D30+D33+D37+D41+D42+D46</f>
        <v>552205.29</v>
      </c>
      <c r="E24" s="100">
        <f t="shared" ref="E24:W24" si="7">+E25+E30+E33+E37+E41+E42+E46</f>
        <v>31420.420000000002</v>
      </c>
      <c r="F24" s="100">
        <f t="shared" si="7"/>
        <v>21484.87</v>
      </c>
      <c r="G24" s="100">
        <f t="shared" si="7"/>
        <v>49200</v>
      </c>
      <c r="H24" s="100">
        <f t="shared" si="7"/>
        <v>31200</v>
      </c>
      <c r="I24" s="100">
        <f t="shared" si="7"/>
        <v>93200</v>
      </c>
      <c r="J24" s="100">
        <f t="shared" si="7"/>
        <v>43200</v>
      </c>
      <c r="K24" s="100">
        <f t="shared" si="7"/>
        <v>48200</v>
      </c>
      <c r="L24" s="100">
        <f t="shared" ref="L24:R24" si="8">+L25+L30+L33+L37+L41+L42+L46</f>
        <v>76200</v>
      </c>
      <c r="M24" s="100">
        <f t="shared" si="8"/>
        <v>44200</v>
      </c>
      <c r="N24" s="100">
        <f t="shared" si="8"/>
        <v>37200</v>
      </c>
      <c r="O24" s="100">
        <f t="shared" si="8"/>
        <v>44200</v>
      </c>
      <c r="P24" s="100">
        <f t="shared" si="8"/>
        <v>37200</v>
      </c>
      <c r="Q24" s="100">
        <f t="shared" si="8"/>
        <v>85700</v>
      </c>
      <c r="R24" s="100">
        <f t="shared" si="8"/>
        <v>23000</v>
      </c>
      <c r="S24" s="92">
        <f t="shared" si="2"/>
        <v>665605.29</v>
      </c>
      <c r="T24" s="100">
        <f t="shared" si="7"/>
        <v>44200</v>
      </c>
      <c r="U24" s="100">
        <f t="shared" si="7"/>
        <v>37200</v>
      </c>
      <c r="V24" s="100">
        <f t="shared" si="7"/>
        <v>85700</v>
      </c>
      <c r="W24" s="100">
        <f t="shared" si="7"/>
        <v>23000</v>
      </c>
    </row>
    <row r="25" spans="1:23" s="72" customFormat="1" ht="12.75" customHeight="1" x14ac:dyDescent="0.25">
      <c r="A25" s="97"/>
      <c r="B25" s="98"/>
      <c r="C25" s="99"/>
      <c r="D25" s="100">
        <f>SUM(D26:D29)</f>
        <v>195796.2</v>
      </c>
      <c r="E25" s="100">
        <f t="shared" ref="E25:W25" si="9">SUM(E26:E29)</f>
        <v>14401.119999999999</v>
      </c>
      <c r="F25" s="100">
        <f t="shared" si="9"/>
        <v>4895.08</v>
      </c>
      <c r="G25" s="100">
        <f t="shared" si="9"/>
        <v>9000</v>
      </c>
      <c r="H25" s="100">
        <f t="shared" si="9"/>
        <v>9000</v>
      </c>
      <c r="I25" s="100">
        <f t="shared" si="9"/>
        <v>52000</v>
      </c>
      <c r="J25" s="100">
        <f t="shared" si="9"/>
        <v>11000</v>
      </c>
      <c r="K25" s="100">
        <f t="shared" si="9"/>
        <v>11000</v>
      </c>
      <c r="L25" s="100">
        <f t="shared" ref="L25:R25" si="10">SUM(L26:L29)</f>
        <v>52000</v>
      </c>
      <c r="M25" s="100">
        <f t="shared" si="10"/>
        <v>9000</v>
      </c>
      <c r="N25" s="100">
        <f t="shared" si="10"/>
        <v>9000</v>
      </c>
      <c r="O25" s="100">
        <f t="shared" si="10"/>
        <v>9000</v>
      </c>
      <c r="P25" s="100">
        <f t="shared" si="10"/>
        <v>9000</v>
      </c>
      <c r="Q25" s="100">
        <f t="shared" si="10"/>
        <v>52000</v>
      </c>
      <c r="R25" s="100">
        <f t="shared" si="10"/>
        <v>5500</v>
      </c>
      <c r="S25" s="92">
        <f t="shared" si="2"/>
        <v>256796.2</v>
      </c>
      <c r="T25" s="100">
        <f t="shared" si="9"/>
        <v>9000</v>
      </c>
      <c r="U25" s="100">
        <f t="shared" si="9"/>
        <v>9000</v>
      </c>
      <c r="V25" s="100">
        <f t="shared" si="9"/>
        <v>52000</v>
      </c>
      <c r="W25" s="100">
        <f t="shared" si="9"/>
        <v>5500</v>
      </c>
    </row>
    <row r="26" spans="1:23" s="72" customFormat="1" ht="12.75" customHeight="1" x14ac:dyDescent="0.25">
      <c r="A26" s="101">
        <v>2111</v>
      </c>
      <c r="B26" s="415" t="s">
        <v>754</v>
      </c>
      <c r="C26" s="416"/>
      <c r="D26" s="95">
        <f>+E26+F26+G26+H26+I26+J26+K26+M26+T26+U26+V26+W26</f>
        <v>52589.380000000005</v>
      </c>
      <c r="E26" s="96">
        <v>1947.29</v>
      </c>
      <c r="F26" s="96">
        <v>4642.09</v>
      </c>
      <c r="G26" s="96">
        <v>2000</v>
      </c>
      <c r="H26" s="96">
        <v>2000</v>
      </c>
      <c r="I26" s="96">
        <v>13000</v>
      </c>
      <c r="J26" s="96">
        <v>4000</v>
      </c>
      <c r="K26" s="96">
        <v>4000</v>
      </c>
      <c r="L26" s="96">
        <v>13000</v>
      </c>
      <c r="M26" s="96">
        <v>2000</v>
      </c>
      <c r="N26" s="96">
        <v>2000</v>
      </c>
      <c r="O26" s="96">
        <v>2000</v>
      </c>
      <c r="P26" s="96">
        <v>2000</v>
      </c>
      <c r="Q26" s="96">
        <v>13000</v>
      </c>
      <c r="R26" s="96">
        <v>2000</v>
      </c>
      <c r="S26" s="92">
        <f t="shared" si="2"/>
        <v>67589.38</v>
      </c>
      <c r="T26" s="96">
        <v>2000</v>
      </c>
      <c r="U26" s="96">
        <v>2000</v>
      </c>
      <c r="V26" s="96">
        <v>13000</v>
      </c>
      <c r="W26" s="96">
        <v>2000</v>
      </c>
    </row>
    <row r="27" spans="1:23" s="72" customFormat="1" ht="18.75" customHeight="1" x14ac:dyDescent="0.25">
      <c r="A27" s="101">
        <v>2141</v>
      </c>
      <c r="B27" s="415" t="s">
        <v>755</v>
      </c>
      <c r="C27" s="416"/>
      <c r="D27" s="95">
        <f>+E27+F27+G27+H27+I27+J27+K27+M27+T27+U27+V27+W27</f>
        <v>103733.1</v>
      </c>
      <c r="E27" s="96">
        <v>6733.1</v>
      </c>
      <c r="F27" s="96">
        <v>0</v>
      </c>
      <c r="G27" s="96">
        <v>5000</v>
      </c>
      <c r="H27" s="96">
        <v>5000</v>
      </c>
      <c r="I27" s="96">
        <v>30000</v>
      </c>
      <c r="J27" s="96">
        <v>5000</v>
      </c>
      <c r="K27" s="96">
        <v>5000</v>
      </c>
      <c r="L27" s="96">
        <v>30000</v>
      </c>
      <c r="M27" s="96">
        <v>5000</v>
      </c>
      <c r="N27" s="96">
        <v>5000</v>
      </c>
      <c r="O27" s="96">
        <v>5000</v>
      </c>
      <c r="P27" s="96">
        <v>5000</v>
      </c>
      <c r="Q27" s="96">
        <v>30000</v>
      </c>
      <c r="R27" s="96">
        <v>2000</v>
      </c>
      <c r="S27" s="92">
        <f t="shared" si="2"/>
        <v>138733.1</v>
      </c>
      <c r="T27" s="96">
        <v>5000</v>
      </c>
      <c r="U27" s="96">
        <v>5000</v>
      </c>
      <c r="V27" s="96">
        <v>30000</v>
      </c>
      <c r="W27" s="96">
        <v>2000</v>
      </c>
    </row>
    <row r="28" spans="1:23" s="72" customFormat="1" ht="12.75" customHeight="1" x14ac:dyDescent="0.25">
      <c r="A28" s="101">
        <v>2151</v>
      </c>
      <c r="B28" s="415" t="s">
        <v>756</v>
      </c>
      <c r="C28" s="416"/>
      <c r="D28" s="95">
        <f>+E28+F28+G28+H28+I28+J28+K28+M28+T28+U28+V28+W28</f>
        <v>10190</v>
      </c>
      <c r="E28" s="96">
        <v>76</v>
      </c>
      <c r="F28" s="96">
        <v>114</v>
      </c>
      <c r="G28" s="96">
        <v>1000</v>
      </c>
      <c r="H28" s="96">
        <v>1000</v>
      </c>
      <c r="I28" s="96">
        <v>1000</v>
      </c>
      <c r="J28" s="96">
        <v>1000</v>
      </c>
      <c r="K28" s="96">
        <v>1000</v>
      </c>
      <c r="L28" s="96">
        <v>1000</v>
      </c>
      <c r="M28" s="96">
        <v>1000</v>
      </c>
      <c r="N28" s="96">
        <v>1000</v>
      </c>
      <c r="O28" s="96">
        <v>1000</v>
      </c>
      <c r="P28" s="96">
        <v>1000</v>
      </c>
      <c r="Q28" s="96">
        <v>1000</v>
      </c>
      <c r="R28" s="96">
        <v>1000</v>
      </c>
      <c r="S28" s="92">
        <f t="shared" si="2"/>
        <v>12190</v>
      </c>
      <c r="T28" s="96">
        <v>1000</v>
      </c>
      <c r="U28" s="96">
        <v>1000</v>
      </c>
      <c r="V28" s="96">
        <v>1000</v>
      </c>
      <c r="W28" s="96">
        <v>1000</v>
      </c>
    </row>
    <row r="29" spans="1:23" s="72" customFormat="1" ht="12.75" customHeight="1" x14ac:dyDescent="0.25">
      <c r="A29" s="101">
        <v>2161</v>
      </c>
      <c r="B29" s="399" t="s">
        <v>757</v>
      </c>
      <c r="C29" s="400"/>
      <c r="D29" s="95">
        <f>+E29+F29+G29+H29+I29+J29+K29+M29+T29+U29+V29+W29</f>
        <v>29283.72</v>
      </c>
      <c r="E29" s="96">
        <v>5644.73</v>
      </c>
      <c r="F29" s="96">
        <v>138.99</v>
      </c>
      <c r="G29" s="96">
        <v>1000</v>
      </c>
      <c r="H29" s="96">
        <v>1000</v>
      </c>
      <c r="I29" s="96">
        <v>8000</v>
      </c>
      <c r="J29" s="96">
        <v>1000</v>
      </c>
      <c r="K29" s="96">
        <v>1000</v>
      </c>
      <c r="L29" s="96">
        <v>8000</v>
      </c>
      <c r="M29" s="96">
        <v>1000</v>
      </c>
      <c r="N29" s="96">
        <v>1000</v>
      </c>
      <c r="O29" s="96">
        <v>1000</v>
      </c>
      <c r="P29" s="96">
        <v>1000</v>
      </c>
      <c r="Q29" s="96">
        <v>8000</v>
      </c>
      <c r="R29" s="96">
        <v>500</v>
      </c>
      <c r="S29" s="92">
        <f t="shared" si="2"/>
        <v>38283.72</v>
      </c>
      <c r="T29" s="96">
        <v>1000</v>
      </c>
      <c r="U29" s="96">
        <v>1000</v>
      </c>
      <c r="V29" s="96">
        <v>8000</v>
      </c>
      <c r="W29" s="96">
        <v>500</v>
      </c>
    </row>
    <row r="30" spans="1:23" s="72" customFormat="1" ht="12.75" customHeight="1" x14ac:dyDescent="0.25">
      <c r="A30" s="101"/>
      <c r="B30" s="98"/>
      <c r="C30" s="99"/>
      <c r="D30" s="100">
        <f>SUM(D31:D32)</f>
        <v>133689.88</v>
      </c>
      <c r="E30" s="100">
        <f t="shared" ref="E30:W30" si="11">SUM(E31:E32)</f>
        <v>8445.2900000000009</v>
      </c>
      <c r="F30" s="100">
        <f t="shared" si="11"/>
        <v>7244.5899999999992</v>
      </c>
      <c r="G30" s="100">
        <f t="shared" si="11"/>
        <v>13500</v>
      </c>
      <c r="H30" s="100">
        <f t="shared" si="11"/>
        <v>6500</v>
      </c>
      <c r="I30" s="100">
        <f t="shared" si="11"/>
        <v>17500</v>
      </c>
      <c r="J30" s="100">
        <f t="shared" si="11"/>
        <v>13500</v>
      </c>
      <c r="K30" s="100">
        <f t="shared" si="11"/>
        <v>13500</v>
      </c>
      <c r="L30" s="100">
        <f t="shared" ref="L30:R30" si="12">SUM(L31:L32)</f>
        <v>6500</v>
      </c>
      <c r="M30" s="100">
        <f t="shared" si="12"/>
        <v>13500</v>
      </c>
      <c r="N30" s="100">
        <f t="shared" si="12"/>
        <v>6500</v>
      </c>
      <c r="O30" s="100">
        <f t="shared" si="12"/>
        <v>13500</v>
      </c>
      <c r="P30" s="100">
        <f t="shared" si="12"/>
        <v>6500</v>
      </c>
      <c r="Q30" s="100">
        <f t="shared" si="12"/>
        <v>13500</v>
      </c>
      <c r="R30" s="100">
        <f t="shared" si="12"/>
        <v>6500</v>
      </c>
      <c r="S30" s="92">
        <f t="shared" si="2"/>
        <v>146689.88</v>
      </c>
      <c r="T30" s="100">
        <f t="shared" si="11"/>
        <v>13500</v>
      </c>
      <c r="U30" s="100">
        <f t="shared" si="11"/>
        <v>6500</v>
      </c>
      <c r="V30" s="100">
        <f t="shared" si="11"/>
        <v>13500</v>
      </c>
      <c r="W30" s="100">
        <f t="shared" si="11"/>
        <v>6500</v>
      </c>
    </row>
    <row r="31" spans="1:23" s="72" customFormat="1" ht="12.75" customHeight="1" x14ac:dyDescent="0.25">
      <c r="A31" s="101">
        <v>2211</v>
      </c>
      <c r="B31" s="399" t="s">
        <v>758</v>
      </c>
      <c r="C31" s="400"/>
      <c r="D31" s="95">
        <f>+E31+F31+G31+H31+I31+J31+K31+M31+T31+U31+V31+W31</f>
        <v>128290.69</v>
      </c>
      <c r="E31" s="96">
        <v>8237.7900000000009</v>
      </c>
      <c r="F31" s="96">
        <v>7052.9</v>
      </c>
      <c r="G31" s="96">
        <v>13000</v>
      </c>
      <c r="H31" s="96">
        <v>6000</v>
      </c>
      <c r="I31" s="96">
        <v>17000</v>
      </c>
      <c r="J31" s="96">
        <v>13000</v>
      </c>
      <c r="K31" s="96">
        <v>13000</v>
      </c>
      <c r="L31" s="96">
        <v>6000</v>
      </c>
      <c r="M31" s="96">
        <v>13000</v>
      </c>
      <c r="N31" s="96">
        <v>6000</v>
      </c>
      <c r="O31" s="96">
        <v>13000</v>
      </c>
      <c r="P31" s="96">
        <v>6000</v>
      </c>
      <c r="Q31" s="96">
        <v>13000</v>
      </c>
      <c r="R31" s="96">
        <v>6000</v>
      </c>
      <c r="S31" s="92">
        <f t="shared" si="2"/>
        <v>140290.69</v>
      </c>
      <c r="T31" s="96">
        <v>13000</v>
      </c>
      <c r="U31" s="96">
        <v>6000</v>
      </c>
      <c r="V31" s="96">
        <v>13000</v>
      </c>
      <c r="W31" s="96">
        <v>6000</v>
      </c>
    </row>
    <row r="32" spans="1:23" s="72" customFormat="1" ht="12.75" customHeight="1" x14ac:dyDescent="0.25">
      <c r="A32" s="101">
        <v>2231</v>
      </c>
      <c r="B32" s="399" t="s">
        <v>759</v>
      </c>
      <c r="C32" s="400"/>
      <c r="D32" s="95">
        <f>+E32+F32+G32+H32+I32+J32+K32+M32+T32+U32+V32+W32</f>
        <v>5399.1900000000005</v>
      </c>
      <c r="E32" s="96">
        <v>207.5</v>
      </c>
      <c r="F32" s="96">
        <v>191.69</v>
      </c>
      <c r="G32" s="96">
        <v>500</v>
      </c>
      <c r="H32" s="96">
        <v>500</v>
      </c>
      <c r="I32" s="96">
        <v>500</v>
      </c>
      <c r="J32" s="96">
        <v>500</v>
      </c>
      <c r="K32" s="96">
        <v>500</v>
      </c>
      <c r="L32" s="96">
        <v>500</v>
      </c>
      <c r="M32" s="96">
        <v>500</v>
      </c>
      <c r="N32" s="96">
        <v>500</v>
      </c>
      <c r="O32" s="96">
        <v>500</v>
      </c>
      <c r="P32" s="96">
        <v>500</v>
      </c>
      <c r="Q32" s="96">
        <v>500</v>
      </c>
      <c r="R32" s="96">
        <v>500</v>
      </c>
      <c r="S32" s="92">
        <f t="shared" si="2"/>
        <v>6399.1900000000005</v>
      </c>
      <c r="T32" s="96">
        <v>500</v>
      </c>
      <c r="U32" s="96">
        <v>500</v>
      </c>
      <c r="V32" s="96">
        <v>500</v>
      </c>
      <c r="W32" s="96">
        <v>500</v>
      </c>
    </row>
    <row r="33" spans="1:23" s="72" customFormat="1" ht="12.75" customHeight="1" x14ac:dyDescent="0.25">
      <c r="A33" s="101"/>
      <c r="B33" s="98"/>
      <c r="C33" s="99"/>
      <c r="D33" s="100">
        <f>SUM(D34:D36)</f>
        <v>31641.989999999998</v>
      </c>
      <c r="E33" s="100">
        <f t="shared" ref="E33:W33" si="13">SUM(E34:E36)</f>
        <v>615.99</v>
      </c>
      <c r="F33" s="100">
        <f t="shared" si="13"/>
        <v>26</v>
      </c>
      <c r="G33" s="100">
        <f t="shared" si="13"/>
        <v>0</v>
      </c>
      <c r="H33" s="100">
        <f t="shared" si="13"/>
        <v>4000</v>
      </c>
      <c r="I33" s="100">
        <f t="shared" si="13"/>
        <v>6000</v>
      </c>
      <c r="J33" s="100">
        <f t="shared" si="13"/>
        <v>1000</v>
      </c>
      <c r="K33" s="100">
        <f t="shared" si="13"/>
        <v>6000</v>
      </c>
      <c r="L33" s="100">
        <f t="shared" ref="L33:R33" si="14">SUM(L34:L36)</f>
        <v>1000</v>
      </c>
      <c r="M33" s="100">
        <f t="shared" si="14"/>
        <v>3000</v>
      </c>
      <c r="N33" s="100">
        <f t="shared" si="14"/>
        <v>4000</v>
      </c>
      <c r="O33" s="100">
        <f t="shared" si="14"/>
        <v>3000</v>
      </c>
      <c r="P33" s="100">
        <f t="shared" si="14"/>
        <v>4000</v>
      </c>
      <c r="Q33" s="100">
        <f t="shared" si="14"/>
        <v>4000</v>
      </c>
      <c r="R33" s="100">
        <f t="shared" si="14"/>
        <v>0</v>
      </c>
      <c r="S33" s="92">
        <f t="shared" si="2"/>
        <v>36641.99</v>
      </c>
      <c r="T33" s="100">
        <f t="shared" si="13"/>
        <v>3000</v>
      </c>
      <c r="U33" s="100">
        <f t="shared" si="13"/>
        <v>4000</v>
      </c>
      <c r="V33" s="100">
        <f t="shared" si="13"/>
        <v>4000</v>
      </c>
      <c r="W33" s="100">
        <f t="shared" si="13"/>
        <v>0</v>
      </c>
    </row>
    <row r="34" spans="1:23" s="72" customFormat="1" ht="12.75" customHeight="1" x14ac:dyDescent="0.25">
      <c r="A34" s="101">
        <v>2461</v>
      </c>
      <c r="B34" s="415" t="s">
        <v>760</v>
      </c>
      <c r="C34" s="416"/>
      <c r="D34" s="95">
        <f>+E34+F34+G34+H34+I34+J34+K34+M34+T34+U34+V34+W34</f>
        <v>18582.989999999998</v>
      </c>
      <c r="E34" s="96">
        <v>556.99</v>
      </c>
      <c r="F34" s="96">
        <v>26</v>
      </c>
      <c r="G34" s="96">
        <v>0</v>
      </c>
      <c r="H34" s="96">
        <v>0</v>
      </c>
      <c r="I34" s="96">
        <v>6000</v>
      </c>
      <c r="J34" s="96">
        <v>0</v>
      </c>
      <c r="K34" s="96">
        <v>3000</v>
      </c>
      <c r="L34" s="96">
        <v>0</v>
      </c>
      <c r="M34" s="96">
        <v>3000</v>
      </c>
      <c r="N34" s="96">
        <v>0</v>
      </c>
      <c r="O34" s="96">
        <v>3000</v>
      </c>
      <c r="P34" s="96">
        <v>0</v>
      </c>
      <c r="Q34" s="96">
        <v>3000</v>
      </c>
      <c r="R34" s="96">
        <v>0</v>
      </c>
      <c r="S34" s="92">
        <f t="shared" si="2"/>
        <v>18582.989999999998</v>
      </c>
      <c r="T34" s="96">
        <v>3000</v>
      </c>
      <c r="U34" s="96">
        <v>0</v>
      </c>
      <c r="V34" s="96">
        <v>3000</v>
      </c>
      <c r="W34" s="96">
        <v>0</v>
      </c>
    </row>
    <row r="35" spans="1:23" s="72" customFormat="1" ht="12.75" customHeight="1" x14ac:dyDescent="0.25">
      <c r="A35" s="101">
        <v>2481</v>
      </c>
      <c r="B35" s="415" t="s">
        <v>761</v>
      </c>
      <c r="C35" s="416"/>
      <c r="D35" s="95">
        <f>+E35+F35+G35+H35+I35+J35+K35+M35+T35+U35+V35+W35</f>
        <v>9059</v>
      </c>
      <c r="E35" s="96">
        <v>59</v>
      </c>
      <c r="F35" s="96">
        <v>0</v>
      </c>
      <c r="G35" s="96">
        <v>0</v>
      </c>
      <c r="H35" s="96">
        <v>3000</v>
      </c>
      <c r="I35" s="96">
        <v>0</v>
      </c>
      <c r="J35" s="96">
        <v>0</v>
      </c>
      <c r="K35" s="96">
        <v>3000</v>
      </c>
      <c r="L35" s="96">
        <v>0</v>
      </c>
      <c r="M35" s="96">
        <v>0</v>
      </c>
      <c r="N35" s="96">
        <v>3000</v>
      </c>
      <c r="O35" s="96">
        <v>0</v>
      </c>
      <c r="P35" s="96">
        <v>3000</v>
      </c>
      <c r="Q35" s="96">
        <v>0</v>
      </c>
      <c r="R35" s="96">
        <v>0</v>
      </c>
      <c r="S35" s="92">
        <f t="shared" si="2"/>
        <v>12059</v>
      </c>
      <c r="T35" s="96">
        <v>0</v>
      </c>
      <c r="U35" s="96">
        <v>3000</v>
      </c>
      <c r="V35" s="96">
        <v>0</v>
      </c>
      <c r="W35" s="96">
        <v>0</v>
      </c>
    </row>
    <row r="36" spans="1:23" s="72" customFormat="1" ht="12.75" customHeight="1" x14ac:dyDescent="0.25">
      <c r="A36" s="101">
        <v>2491</v>
      </c>
      <c r="B36" s="399" t="s">
        <v>762</v>
      </c>
      <c r="C36" s="400"/>
      <c r="D36" s="95">
        <f>+E36+F36+G36+H36+I36+J36+K36+M36+T36+U36+V36+W36</f>
        <v>4000</v>
      </c>
      <c r="E36" s="96">
        <v>0</v>
      </c>
      <c r="F36" s="96">
        <v>0</v>
      </c>
      <c r="G36" s="96">
        <v>0</v>
      </c>
      <c r="H36" s="96">
        <v>1000</v>
      </c>
      <c r="I36" s="96">
        <v>0</v>
      </c>
      <c r="J36" s="96">
        <v>1000</v>
      </c>
      <c r="K36" s="96">
        <v>0</v>
      </c>
      <c r="L36" s="96">
        <v>1000</v>
      </c>
      <c r="M36" s="96">
        <v>0</v>
      </c>
      <c r="N36" s="96">
        <v>1000</v>
      </c>
      <c r="O36" s="96">
        <v>0</v>
      </c>
      <c r="P36" s="96">
        <v>1000</v>
      </c>
      <c r="Q36" s="96">
        <v>1000</v>
      </c>
      <c r="R36" s="96">
        <v>0</v>
      </c>
      <c r="S36" s="92">
        <f t="shared" si="2"/>
        <v>6000</v>
      </c>
      <c r="T36" s="96">
        <v>0</v>
      </c>
      <c r="U36" s="96">
        <v>1000</v>
      </c>
      <c r="V36" s="96">
        <v>1000</v>
      </c>
      <c r="W36" s="96">
        <v>0</v>
      </c>
    </row>
    <row r="37" spans="1:23" s="72" customFormat="1" ht="12.75" customHeight="1" x14ac:dyDescent="0.25">
      <c r="A37" s="101"/>
      <c r="B37" s="98"/>
      <c r="C37" s="99"/>
      <c r="D37" s="100">
        <f>SUM(D38:D39)</f>
        <v>4800</v>
      </c>
      <c r="E37" s="100">
        <f t="shared" ref="E37:W37" si="15">SUM(E38:E39)</f>
        <v>0</v>
      </c>
      <c r="F37" s="100">
        <f t="shared" si="15"/>
        <v>0</v>
      </c>
      <c r="G37" s="100">
        <f t="shared" si="15"/>
        <v>200</v>
      </c>
      <c r="H37" s="100">
        <f t="shared" si="15"/>
        <v>200</v>
      </c>
      <c r="I37" s="100">
        <f t="shared" si="15"/>
        <v>1200</v>
      </c>
      <c r="J37" s="100">
        <f t="shared" si="15"/>
        <v>200</v>
      </c>
      <c r="K37" s="100">
        <f t="shared" si="15"/>
        <v>200</v>
      </c>
      <c r="L37" s="100">
        <f t="shared" ref="L37:R37" si="16">SUM(L38:L39)</f>
        <v>200</v>
      </c>
      <c r="M37" s="100">
        <f t="shared" si="16"/>
        <v>1200</v>
      </c>
      <c r="N37" s="100">
        <f t="shared" si="16"/>
        <v>200</v>
      </c>
      <c r="O37" s="100">
        <f t="shared" si="16"/>
        <v>1200</v>
      </c>
      <c r="P37" s="100">
        <f t="shared" si="16"/>
        <v>200</v>
      </c>
      <c r="Q37" s="100">
        <f t="shared" si="16"/>
        <v>200</v>
      </c>
      <c r="R37" s="100">
        <f t="shared" si="16"/>
        <v>0</v>
      </c>
      <c r="S37" s="92">
        <f t="shared" si="2"/>
        <v>5200</v>
      </c>
      <c r="T37" s="100">
        <f t="shared" si="15"/>
        <v>1200</v>
      </c>
      <c r="U37" s="100">
        <f t="shared" si="15"/>
        <v>200</v>
      </c>
      <c r="V37" s="100">
        <f t="shared" si="15"/>
        <v>200</v>
      </c>
      <c r="W37" s="100">
        <f t="shared" si="15"/>
        <v>0</v>
      </c>
    </row>
    <row r="38" spans="1:23" s="72" customFormat="1" ht="12.75" customHeight="1" x14ac:dyDescent="0.25">
      <c r="A38" s="101">
        <v>2521</v>
      </c>
      <c r="B38" s="399" t="s">
        <v>763</v>
      </c>
      <c r="C38" s="400"/>
      <c r="D38" s="95">
        <f>+E38+F38+G38+H38+I38+J38+K38+M38+T38+U38+V38+W38</f>
        <v>1800</v>
      </c>
      <c r="E38" s="96">
        <v>0</v>
      </c>
      <c r="F38" s="96">
        <v>0</v>
      </c>
      <c r="G38" s="96">
        <v>200</v>
      </c>
      <c r="H38" s="96">
        <v>200</v>
      </c>
      <c r="I38" s="96">
        <v>200</v>
      </c>
      <c r="J38" s="96">
        <v>200</v>
      </c>
      <c r="K38" s="96">
        <v>200</v>
      </c>
      <c r="L38" s="96">
        <v>200</v>
      </c>
      <c r="M38" s="96">
        <v>200</v>
      </c>
      <c r="N38" s="96">
        <v>200</v>
      </c>
      <c r="O38" s="96">
        <v>200</v>
      </c>
      <c r="P38" s="96">
        <v>200</v>
      </c>
      <c r="Q38" s="96">
        <v>200</v>
      </c>
      <c r="R38" s="96">
        <v>0</v>
      </c>
      <c r="S38" s="92">
        <f t="shared" si="2"/>
        <v>2200</v>
      </c>
      <c r="T38" s="96">
        <v>200</v>
      </c>
      <c r="U38" s="96">
        <v>200</v>
      </c>
      <c r="V38" s="96">
        <v>200</v>
      </c>
      <c r="W38" s="96">
        <v>0</v>
      </c>
    </row>
    <row r="39" spans="1:23" s="72" customFormat="1" ht="12.75" customHeight="1" x14ac:dyDescent="0.25">
      <c r="A39" s="101">
        <v>2531</v>
      </c>
      <c r="B39" s="399" t="s">
        <v>764</v>
      </c>
      <c r="C39" s="400"/>
      <c r="D39" s="95">
        <f>+E39+F39+G39+H39+I39+J39+K39+M39+T39+U39+V39+W39</f>
        <v>3000</v>
      </c>
      <c r="E39" s="96">
        <v>0</v>
      </c>
      <c r="F39" s="96">
        <v>0</v>
      </c>
      <c r="G39" s="96">
        <v>0</v>
      </c>
      <c r="H39" s="96">
        <v>0</v>
      </c>
      <c r="I39" s="96">
        <v>1000</v>
      </c>
      <c r="J39" s="96">
        <v>0</v>
      </c>
      <c r="K39" s="96">
        <v>0</v>
      </c>
      <c r="L39" s="96">
        <v>0</v>
      </c>
      <c r="M39" s="96">
        <v>1000</v>
      </c>
      <c r="N39" s="96">
        <v>0</v>
      </c>
      <c r="O39" s="96">
        <v>1000</v>
      </c>
      <c r="P39" s="96">
        <v>0</v>
      </c>
      <c r="Q39" s="96">
        <v>0</v>
      </c>
      <c r="R39" s="96">
        <v>0</v>
      </c>
      <c r="S39" s="92">
        <f t="shared" si="2"/>
        <v>3000</v>
      </c>
      <c r="T39" s="96">
        <v>1000</v>
      </c>
      <c r="U39" s="96">
        <v>0</v>
      </c>
      <c r="V39" s="96">
        <v>0</v>
      </c>
      <c r="W39" s="96">
        <v>0</v>
      </c>
    </row>
    <row r="40" spans="1:23" s="72" customFormat="1" ht="12.75" customHeight="1" x14ac:dyDescent="0.25">
      <c r="A40" s="101"/>
      <c r="B40" s="98"/>
      <c r="C40" s="99"/>
      <c r="D40" s="95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2">
        <f t="shared" si="2"/>
        <v>0</v>
      </c>
      <c r="T40" s="96"/>
      <c r="U40" s="96"/>
      <c r="V40" s="96"/>
      <c r="W40" s="96"/>
    </row>
    <row r="41" spans="1:23" s="72" customFormat="1" ht="12.75" customHeight="1" x14ac:dyDescent="0.25">
      <c r="A41" s="101">
        <v>2611</v>
      </c>
      <c r="B41" s="415" t="s">
        <v>765</v>
      </c>
      <c r="C41" s="416"/>
      <c r="D41" s="95">
        <f>+E41+F41+G41+H41+I41+J41+K41+M41+T41+U41+V41+W41</f>
        <v>157277.22</v>
      </c>
      <c r="E41" s="96">
        <v>7958.02</v>
      </c>
      <c r="F41" s="96">
        <v>9319.2000000000007</v>
      </c>
      <c r="G41" s="96">
        <v>15000</v>
      </c>
      <c r="H41" s="96">
        <v>10000</v>
      </c>
      <c r="I41" s="96">
        <v>15000</v>
      </c>
      <c r="J41" s="96">
        <v>15000</v>
      </c>
      <c r="K41" s="96">
        <v>15000</v>
      </c>
      <c r="L41" s="96">
        <v>10000</v>
      </c>
      <c r="M41" s="96">
        <v>15000</v>
      </c>
      <c r="N41" s="96">
        <v>15000</v>
      </c>
      <c r="O41" s="96">
        <v>15000</v>
      </c>
      <c r="P41" s="96">
        <v>15000</v>
      </c>
      <c r="Q41" s="96">
        <v>15000</v>
      </c>
      <c r="R41" s="96">
        <v>10000</v>
      </c>
      <c r="S41" s="92">
        <f t="shared" si="2"/>
        <v>182277.22</v>
      </c>
      <c r="T41" s="96">
        <v>15000</v>
      </c>
      <c r="U41" s="96">
        <v>15000</v>
      </c>
      <c r="V41" s="96">
        <v>15000</v>
      </c>
      <c r="W41" s="96">
        <v>10000</v>
      </c>
    </row>
    <row r="42" spans="1:23" s="72" customFormat="1" ht="12.75" customHeight="1" x14ac:dyDescent="0.25">
      <c r="A42" s="101"/>
      <c r="B42" s="102"/>
      <c r="C42" s="103"/>
      <c r="D42" s="100">
        <f>SUM(D43:D45)</f>
        <v>9000</v>
      </c>
      <c r="E42" s="100">
        <f t="shared" ref="E42:W42" si="17">SUM(E43:E45)</f>
        <v>0</v>
      </c>
      <c r="F42" s="100">
        <f t="shared" si="17"/>
        <v>0</v>
      </c>
      <c r="G42" s="100">
        <f t="shared" si="17"/>
        <v>9000</v>
      </c>
      <c r="H42" s="100">
        <f t="shared" si="17"/>
        <v>0</v>
      </c>
      <c r="I42" s="100">
        <f t="shared" si="17"/>
        <v>0</v>
      </c>
      <c r="J42" s="100">
        <f t="shared" si="17"/>
        <v>0</v>
      </c>
      <c r="K42" s="100">
        <f t="shared" si="17"/>
        <v>0</v>
      </c>
      <c r="L42" s="100">
        <f t="shared" ref="L42:R42" si="18">SUM(L43:L45)</f>
        <v>5000</v>
      </c>
      <c r="M42" s="100">
        <f t="shared" si="18"/>
        <v>0</v>
      </c>
      <c r="N42" s="100">
        <f t="shared" si="18"/>
        <v>0</v>
      </c>
      <c r="O42" s="100">
        <f t="shared" si="18"/>
        <v>0</v>
      </c>
      <c r="P42" s="100">
        <f t="shared" si="18"/>
        <v>0</v>
      </c>
      <c r="Q42" s="100">
        <f t="shared" si="18"/>
        <v>0</v>
      </c>
      <c r="R42" s="100">
        <f t="shared" si="18"/>
        <v>0</v>
      </c>
      <c r="S42" s="92">
        <f t="shared" si="2"/>
        <v>14000</v>
      </c>
      <c r="T42" s="100">
        <f t="shared" si="17"/>
        <v>0</v>
      </c>
      <c r="U42" s="100">
        <f t="shared" si="17"/>
        <v>0</v>
      </c>
      <c r="V42" s="100">
        <f t="shared" si="17"/>
        <v>0</v>
      </c>
      <c r="W42" s="100">
        <f t="shared" si="17"/>
        <v>0</v>
      </c>
    </row>
    <row r="43" spans="1:23" s="72" customFormat="1" ht="12.75" customHeight="1" x14ac:dyDescent="0.25">
      <c r="A43" s="101">
        <v>2711</v>
      </c>
      <c r="B43" s="415" t="s">
        <v>766</v>
      </c>
      <c r="C43" s="416"/>
      <c r="D43" s="95">
        <f>+E43+F43+G43+H43+I43+J43+K43+M43+T43+U43+V43+W43</f>
        <v>1000</v>
      </c>
      <c r="E43" s="96">
        <v>0</v>
      </c>
      <c r="F43" s="96">
        <v>0</v>
      </c>
      <c r="G43" s="96">
        <v>1000</v>
      </c>
      <c r="H43" s="96">
        <v>0</v>
      </c>
      <c r="I43" s="96">
        <v>0</v>
      </c>
      <c r="J43" s="96">
        <v>0</v>
      </c>
      <c r="K43" s="96">
        <v>0</v>
      </c>
      <c r="L43" s="96">
        <v>0</v>
      </c>
      <c r="M43" s="96">
        <v>0</v>
      </c>
      <c r="N43" s="96">
        <v>0</v>
      </c>
      <c r="O43" s="96">
        <v>0</v>
      </c>
      <c r="P43" s="96">
        <v>0</v>
      </c>
      <c r="Q43" s="96">
        <v>0</v>
      </c>
      <c r="R43" s="96">
        <v>0</v>
      </c>
      <c r="S43" s="92">
        <f t="shared" si="2"/>
        <v>1000</v>
      </c>
      <c r="T43" s="96">
        <v>0</v>
      </c>
      <c r="U43" s="96">
        <v>0</v>
      </c>
      <c r="V43" s="96">
        <v>0</v>
      </c>
      <c r="W43" s="96">
        <v>0</v>
      </c>
    </row>
    <row r="44" spans="1:23" s="72" customFormat="1" ht="12.75" customHeight="1" x14ac:dyDescent="0.25">
      <c r="A44" s="101">
        <v>2721</v>
      </c>
      <c r="B44" s="399" t="s">
        <v>767</v>
      </c>
      <c r="C44" s="400"/>
      <c r="D44" s="95">
        <f>+E44+F44+G44+H44+I44+J44+K44+M44+T44+U44+V44+W44</f>
        <v>3000</v>
      </c>
      <c r="E44" s="96">
        <v>0</v>
      </c>
      <c r="F44" s="96">
        <v>0</v>
      </c>
      <c r="G44" s="96">
        <v>3000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96">
        <v>0</v>
      </c>
      <c r="N44" s="96">
        <v>0</v>
      </c>
      <c r="O44" s="96">
        <v>0</v>
      </c>
      <c r="P44" s="96">
        <v>0</v>
      </c>
      <c r="Q44" s="96">
        <v>0</v>
      </c>
      <c r="R44" s="96">
        <v>0</v>
      </c>
      <c r="S44" s="92">
        <f t="shared" si="2"/>
        <v>3000</v>
      </c>
      <c r="T44" s="96">
        <v>0</v>
      </c>
      <c r="U44" s="96">
        <v>0</v>
      </c>
      <c r="V44" s="96">
        <v>0</v>
      </c>
      <c r="W44" s="96">
        <v>0</v>
      </c>
    </row>
    <row r="45" spans="1:23" s="72" customFormat="1" ht="12.75" customHeight="1" x14ac:dyDescent="0.25">
      <c r="A45" s="101">
        <v>2751</v>
      </c>
      <c r="B45" s="399" t="s">
        <v>768</v>
      </c>
      <c r="C45" s="400"/>
      <c r="D45" s="95">
        <f>+E45+F45+G45+H45+I45+J45+K45+M45+T45+U45+V45+W45</f>
        <v>5000</v>
      </c>
      <c r="E45" s="96">
        <v>0</v>
      </c>
      <c r="F45" s="96">
        <v>0</v>
      </c>
      <c r="G45" s="96">
        <v>5000</v>
      </c>
      <c r="H45" s="96">
        <v>0</v>
      </c>
      <c r="I45" s="96">
        <v>0</v>
      </c>
      <c r="J45" s="96">
        <v>0</v>
      </c>
      <c r="K45" s="96">
        <v>0</v>
      </c>
      <c r="L45" s="96">
        <v>5000</v>
      </c>
      <c r="M45" s="96">
        <v>0</v>
      </c>
      <c r="N45" s="96">
        <v>0</v>
      </c>
      <c r="O45" s="96">
        <v>0</v>
      </c>
      <c r="P45" s="96">
        <v>0</v>
      </c>
      <c r="Q45" s="96">
        <v>0</v>
      </c>
      <c r="R45" s="96">
        <v>0</v>
      </c>
      <c r="S45" s="92">
        <f t="shared" si="2"/>
        <v>10000</v>
      </c>
      <c r="T45" s="96">
        <v>0</v>
      </c>
      <c r="U45" s="96">
        <v>0</v>
      </c>
      <c r="V45" s="96">
        <v>0</v>
      </c>
      <c r="W45" s="96">
        <v>0</v>
      </c>
    </row>
    <row r="46" spans="1:23" s="72" customFormat="1" ht="12.75" customHeight="1" x14ac:dyDescent="0.25">
      <c r="A46" s="101"/>
      <c r="B46" s="98"/>
      <c r="C46" s="99"/>
      <c r="D46" s="100">
        <f>SUM(D47:D50)</f>
        <v>20000</v>
      </c>
      <c r="E46" s="100">
        <f t="shared" ref="E46:W46" si="19">SUM(E47:E50)</f>
        <v>0</v>
      </c>
      <c r="F46" s="100">
        <f t="shared" si="19"/>
        <v>0</v>
      </c>
      <c r="G46" s="100">
        <f t="shared" si="19"/>
        <v>2500</v>
      </c>
      <c r="H46" s="100">
        <f t="shared" si="19"/>
        <v>1500</v>
      </c>
      <c r="I46" s="100">
        <f t="shared" si="19"/>
        <v>1500</v>
      </c>
      <c r="J46" s="100">
        <f t="shared" si="19"/>
        <v>2500</v>
      </c>
      <c r="K46" s="100">
        <f t="shared" si="19"/>
        <v>2500</v>
      </c>
      <c r="L46" s="100">
        <f t="shared" ref="L46:R46" si="20">SUM(L47:L50)</f>
        <v>1500</v>
      </c>
      <c r="M46" s="100">
        <f t="shared" si="20"/>
        <v>2500</v>
      </c>
      <c r="N46" s="100">
        <f t="shared" si="20"/>
        <v>2500</v>
      </c>
      <c r="O46" s="100">
        <f t="shared" si="20"/>
        <v>2500</v>
      </c>
      <c r="P46" s="100">
        <f t="shared" si="20"/>
        <v>2500</v>
      </c>
      <c r="Q46" s="100">
        <f t="shared" si="20"/>
        <v>1000</v>
      </c>
      <c r="R46" s="100">
        <f t="shared" si="20"/>
        <v>1000</v>
      </c>
      <c r="S46" s="92">
        <f t="shared" si="2"/>
        <v>24000</v>
      </c>
      <c r="T46" s="100">
        <f t="shared" si="19"/>
        <v>2500</v>
      </c>
      <c r="U46" s="100">
        <f t="shared" si="19"/>
        <v>2500</v>
      </c>
      <c r="V46" s="100">
        <f t="shared" si="19"/>
        <v>1000</v>
      </c>
      <c r="W46" s="100">
        <f t="shared" si="19"/>
        <v>1000</v>
      </c>
    </row>
    <row r="47" spans="1:23" s="72" customFormat="1" ht="12.75" customHeight="1" x14ac:dyDescent="0.25">
      <c r="A47" s="101">
        <v>2911</v>
      </c>
      <c r="B47" s="415" t="s">
        <v>769</v>
      </c>
      <c r="C47" s="416"/>
      <c r="D47" s="95">
        <f>+E47+F47+G47+H47+I47+J47+K47+M47+T47+U47+V47+W47</f>
        <v>4000</v>
      </c>
      <c r="E47" s="96">
        <v>0</v>
      </c>
      <c r="F47" s="96">
        <v>0</v>
      </c>
      <c r="G47" s="96">
        <v>500</v>
      </c>
      <c r="H47" s="96">
        <v>500</v>
      </c>
      <c r="I47" s="96">
        <v>500</v>
      </c>
      <c r="J47" s="96">
        <v>500</v>
      </c>
      <c r="K47" s="96">
        <v>500</v>
      </c>
      <c r="L47" s="96">
        <v>500</v>
      </c>
      <c r="M47" s="96">
        <v>500</v>
      </c>
      <c r="N47" s="96">
        <v>500</v>
      </c>
      <c r="O47" s="96">
        <v>500</v>
      </c>
      <c r="P47" s="96">
        <v>500</v>
      </c>
      <c r="Q47" s="96">
        <v>0</v>
      </c>
      <c r="R47" s="96">
        <v>0</v>
      </c>
      <c r="S47" s="92">
        <f t="shared" si="2"/>
        <v>5000</v>
      </c>
      <c r="T47" s="96">
        <v>500</v>
      </c>
      <c r="U47" s="96">
        <v>500</v>
      </c>
      <c r="V47" s="96">
        <v>0</v>
      </c>
      <c r="W47" s="96">
        <v>0</v>
      </c>
    </row>
    <row r="48" spans="1:23" s="72" customFormat="1" ht="18.75" customHeight="1" x14ac:dyDescent="0.25">
      <c r="A48" s="101">
        <v>2931</v>
      </c>
      <c r="B48" s="415" t="s">
        <v>770</v>
      </c>
      <c r="C48" s="416"/>
      <c r="D48" s="95">
        <f>+E48+F48+G48+H48+I48+J48+K48+M48+T48+U48+V48+W48</f>
        <v>4000</v>
      </c>
      <c r="E48" s="96">
        <v>0</v>
      </c>
      <c r="F48" s="96">
        <v>0</v>
      </c>
      <c r="G48" s="96">
        <v>1000</v>
      </c>
      <c r="H48" s="96">
        <v>0</v>
      </c>
      <c r="I48" s="96">
        <v>0</v>
      </c>
      <c r="J48" s="96">
        <v>1000</v>
      </c>
      <c r="K48" s="96">
        <v>0</v>
      </c>
      <c r="L48" s="96">
        <v>0</v>
      </c>
      <c r="M48" s="96">
        <v>1000</v>
      </c>
      <c r="N48" s="96">
        <v>0</v>
      </c>
      <c r="O48" s="96">
        <v>1000</v>
      </c>
      <c r="P48" s="96">
        <v>0</v>
      </c>
      <c r="Q48" s="96">
        <v>0</v>
      </c>
      <c r="R48" s="96">
        <v>0</v>
      </c>
      <c r="S48" s="92">
        <f t="shared" si="2"/>
        <v>4000</v>
      </c>
      <c r="T48" s="96">
        <v>1000</v>
      </c>
      <c r="U48" s="96">
        <v>0</v>
      </c>
      <c r="V48" s="96">
        <v>0</v>
      </c>
      <c r="W48" s="96">
        <v>0</v>
      </c>
    </row>
    <row r="49" spans="1:23" s="72" customFormat="1" ht="16.5" customHeight="1" x14ac:dyDescent="0.25">
      <c r="A49" s="101">
        <v>2941</v>
      </c>
      <c r="B49" s="415" t="s">
        <v>771</v>
      </c>
      <c r="C49" s="416"/>
      <c r="D49" s="95">
        <f>+E49+F49+G49+H49+I49+J49+K49+M49+T49+U49+V49+W49</f>
        <v>10000</v>
      </c>
      <c r="E49" s="96">
        <v>0</v>
      </c>
      <c r="F49" s="96">
        <v>0</v>
      </c>
      <c r="G49" s="96">
        <v>1000</v>
      </c>
      <c r="H49" s="96">
        <v>1000</v>
      </c>
      <c r="I49" s="96">
        <v>1000</v>
      </c>
      <c r="J49" s="96">
        <v>1000</v>
      </c>
      <c r="K49" s="96">
        <v>1000</v>
      </c>
      <c r="L49" s="96">
        <v>1000</v>
      </c>
      <c r="M49" s="96">
        <v>1000</v>
      </c>
      <c r="N49" s="96">
        <v>1000</v>
      </c>
      <c r="O49" s="96">
        <v>1000</v>
      </c>
      <c r="P49" s="96">
        <v>1000</v>
      </c>
      <c r="Q49" s="96">
        <v>1000</v>
      </c>
      <c r="R49" s="96">
        <v>1000</v>
      </c>
      <c r="S49" s="92">
        <f t="shared" si="2"/>
        <v>12000</v>
      </c>
      <c r="T49" s="96">
        <v>1000</v>
      </c>
      <c r="U49" s="96">
        <v>1000</v>
      </c>
      <c r="V49" s="96">
        <v>1000</v>
      </c>
      <c r="W49" s="96">
        <v>1000</v>
      </c>
    </row>
    <row r="50" spans="1:23" s="72" customFormat="1" ht="12.75" customHeight="1" x14ac:dyDescent="0.25">
      <c r="A50" s="101">
        <v>2961</v>
      </c>
      <c r="B50" s="415" t="s">
        <v>772</v>
      </c>
      <c r="C50" s="416"/>
      <c r="D50" s="95">
        <f>+E50+F50+G50+H50+I50+J50+K50+M50+T50+U50+V50+W50</f>
        <v>2000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J50" s="96">
        <v>0</v>
      </c>
      <c r="K50" s="96">
        <v>1000</v>
      </c>
      <c r="L50" s="96">
        <v>0</v>
      </c>
      <c r="M50" s="96">
        <v>0</v>
      </c>
      <c r="N50" s="96">
        <v>1000</v>
      </c>
      <c r="O50" s="96">
        <v>0</v>
      </c>
      <c r="P50" s="96">
        <v>1000</v>
      </c>
      <c r="Q50" s="96">
        <v>0</v>
      </c>
      <c r="R50" s="96">
        <v>0</v>
      </c>
      <c r="S50" s="92">
        <f t="shared" si="2"/>
        <v>3000</v>
      </c>
      <c r="T50" s="96">
        <v>0</v>
      </c>
      <c r="U50" s="96">
        <v>1000</v>
      </c>
      <c r="V50" s="96">
        <v>0</v>
      </c>
      <c r="W50" s="96">
        <v>0</v>
      </c>
    </row>
    <row r="51" spans="1:23" s="72" customFormat="1" ht="12.75" customHeight="1" x14ac:dyDescent="0.25">
      <c r="A51" s="101"/>
      <c r="B51" s="102"/>
      <c r="C51" s="103"/>
      <c r="D51" s="100">
        <f>+D52+D61+D62+D70+D75+D81+D82+D89+D95</f>
        <v>3824994.71</v>
      </c>
      <c r="E51" s="100">
        <f t="shared" ref="E51:W51" si="21">+E52+E61+E62+E70+E75+E81+E82+E89+E95</f>
        <v>258325.89000000004</v>
      </c>
      <c r="F51" s="100">
        <f t="shared" si="21"/>
        <v>224617.38</v>
      </c>
      <c r="G51" s="100">
        <f t="shared" si="21"/>
        <v>467306.15</v>
      </c>
      <c r="H51" s="100">
        <f t="shared" si="21"/>
        <v>280860.59000000003</v>
      </c>
      <c r="I51" s="100">
        <f t="shared" si="21"/>
        <v>334860.59000000003</v>
      </c>
      <c r="J51" s="100">
        <f t="shared" si="21"/>
        <v>380860.59</v>
      </c>
      <c r="K51" s="100">
        <f t="shared" si="21"/>
        <v>305860.59000000003</v>
      </c>
      <c r="L51" s="100">
        <f t="shared" ref="L51:R51" si="22">+L52+L61+L62+L70+L75+L81+L82+L89+L95</f>
        <v>311460.59000000003</v>
      </c>
      <c r="M51" s="100">
        <f t="shared" si="22"/>
        <v>307860.59000000003</v>
      </c>
      <c r="N51" s="100">
        <f t="shared" si="22"/>
        <v>305860.59000000003</v>
      </c>
      <c r="O51" s="100">
        <f t="shared" si="22"/>
        <v>307860.59000000003</v>
      </c>
      <c r="P51" s="100">
        <f t="shared" si="22"/>
        <v>305860.59000000003</v>
      </c>
      <c r="Q51" s="100">
        <f t="shared" si="22"/>
        <v>307860.59000000003</v>
      </c>
      <c r="R51" s="100">
        <f t="shared" si="22"/>
        <v>342860.57</v>
      </c>
      <c r="S51" s="92">
        <f t="shared" si="2"/>
        <v>4442315.8899999997</v>
      </c>
      <c r="T51" s="100">
        <f t="shared" si="21"/>
        <v>307860.59000000003</v>
      </c>
      <c r="U51" s="100">
        <f t="shared" si="21"/>
        <v>305860.59000000003</v>
      </c>
      <c r="V51" s="100">
        <f t="shared" si="21"/>
        <v>307860.59000000003</v>
      </c>
      <c r="W51" s="100">
        <f t="shared" si="21"/>
        <v>342860.57</v>
      </c>
    </row>
    <row r="52" spans="1:23" s="72" customFormat="1" ht="12.75" customHeight="1" x14ac:dyDescent="0.25">
      <c r="A52" s="101"/>
      <c r="B52" s="102"/>
      <c r="C52" s="103"/>
      <c r="D52" s="100">
        <f>SUM(D53:D59)</f>
        <v>405273.83</v>
      </c>
      <c r="E52" s="100">
        <f t="shared" ref="E52:W52" si="23">SUM(E53:E59)</f>
        <v>55352.32</v>
      </c>
      <c r="F52" s="100">
        <f t="shared" si="23"/>
        <v>14921.51</v>
      </c>
      <c r="G52" s="100">
        <f t="shared" si="23"/>
        <v>44300</v>
      </c>
      <c r="H52" s="100">
        <f t="shared" si="23"/>
        <v>17300</v>
      </c>
      <c r="I52" s="100">
        <f t="shared" si="23"/>
        <v>44300</v>
      </c>
      <c r="J52" s="100">
        <f t="shared" si="23"/>
        <v>17300</v>
      </c>
      <c r="K52" s="100">
        <f t="shared" si="23"/>
        <v>44300</v>
      </c>
      <c r="L52" s="100">
        <f t="shared" ref="L52:R52" si="24">SUM(L53:L59)</f>
        <v>17300</v>
      </c>
      <c r="M52" s="100">
        <f t="shared" si="24"/>
        <v>44300</v>
      </c>
      <c r="N52" s="100">
        <f t="shared" si="24"/>
        <v>17300</v>
      </c>
      <c r="O52" s="100">
        <f t="shared" si="24"/>
        <v>44300</v>
      </c>
      <c r="P52" s="100">
        <f t="shared" si="24"/>
        <v>17300</v>
      </c>
      <c r="Q52" s="100">
        <f t="shared" si="24"/>
        <v>44300</v>
      </c>
      <c r="R52" s="100">
        <f t="shared" si="24"/>
        <v>17300</v>
      </c>
      <c r="S52" s="92">
        <f t="shared" si="2"/>
        <v>439873.83</v>
      </c>
      <c r="T52" s="100">
        <f t="shared" si="23"/>
        <v>44300</v>
      </c>
      <c r="U52" s="100">
        <f t="shared" si="23"/>
        <v>17300</v>
      </c>
      <c r="V52" s="100">
        <f t="shared" si="23"/>
        <v>44300</v>
      </c>
      <c r="W52" s="100">
        <f t="shared" si="23"/>
        <v>17300</v>
      </c>
    </row>
    <row r="53" spans="1:23" s="72" customFormat="1" ht="12.75" customHeight="1" x14ac:dyDescent="0.25">
      <c r="A53" s="101">
        <v>3111</v>
      </c>
      <c r="B53" s="415" t="s">
        <v>773</v>
      </c>
      <c r="C53" s="416"/>
      <c r="D53" s="95">
        <f t="shared" ref="D53:D59" si="25">+E53+F53+G53+H53+I53+J53+K53+M53+T53+U53+V53+W53</f>
        <v>188025</v>
      </c>
      <c r="E53" s="96">
        <v>26025</v>
      </c>
      <c r="F53" s="96">
        <v>0</v>
      </c>
      <c r="G53" s="96">
        <v>27000</v>
      </c>
      <c r="H53" s="96">
        <v>0</v>
      </c>
      <c r="I53" s="96">
        <v>27000</v>
      </c>
      <c r="J53" s="96">
        <v>0</v>
      </c>
      <c r="K53" s="96">
        <v>27000</v>
      </c>
      <c r="L53" s="96">
        <v>0</v>
      </c>
      <c r="M53" s="96">
        <v>27000</v>
      </c>
      <c r="N53" s="96">
        <v>0</v>
      </c>
      <c r="O53" s="96">
        <v>27000</v>
      </c>
      <c r="P53" s="96">
        <v>0</v>
      </c>
      <c r="Q53" s="96">
        <v>27000</v>
      </c>
      <c r="R53" s="96">
        <v>0</v>
      </c>
      <c r="S53" s="92">
        <f t="shared" si="2"/>
        <v>188025</v>
      </c>
      <c r="T53" s="96">
        <v>27000</v>
      </c>
      <c r="U53" s="96">
        <v>0</v>
      </c>
      <c r="V53" s="96">
        <v>27000</v>
      </c>
      <c r="W53" s="96">
        <v>0</v>
      </c>
    </row>
    <row r="54" spans="1:23" s="72" customFormat="1" ht="12.75" customHeight="1" x14ac:dyDescent="0.25">
      <c r="A54" s="101">
        <v>3131</v>
      </c>
      <c r="B54" s="415" t="s">
        <v>774</v>
      </c>
      <c r="C54" s="416"/>
      <c r="D54" s="95">
        <f t="shared" si="25"/>
        <v>10296</v>
      </c>
      <c r="E54" s="96">
        <v>10296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96">
        <v>0</v>
      </c>
      <c r="N54" s="96">
        <v>0</v>
      </c>
      <c r="O54" s="96">
        <v>0</v>
      </c>
      <c r="P54" s="96">
        <v>0</v>
      </c>
      <c r="Q54" s="96">
        <v>0</v>
      </c>
      <c r="R54" s="96">
        <v>0</v>
      </c>
      <c r="S54" s="92">
        <f t="shared" si="2"/>
        <v>10296</v>
      </c>
      <c r="T54" s="96">
        <v>0</v>
      </c>
      <c r="U54" s="96">
        <v>0</v>
      </c>
      <c r="V54" s="96">
        <v>0</v>
      </c>
      <c r="W54" s="96">
        <v>0</v>
      </c>
    </row>
    <row r="55" spans="1:23" s="72" customFormat="1" ht="12.75" customHeight="1" x14ac:dyDescent="0.25">
      <c r="A55" s="101">
        <v>3141</v>
      </c>
      <c r="B55" s="415" t="s">
        <v>775</v>
      </c>
      <c r="C55" s="416"/>
      <c r="D55" s="95">
        <f t="shared" si="25"/>
        <v>145374</v>
      </c>
      <c r="E55" s="96">
        <v>12987</v>
      </c>
      <c r="F55" s="96">
        <v>12387</v>
      </c>
      <c r="G55" s="96">
        <v>12000</v>
      </c>
      <c r="H55" s="96">
        <v>12000</v>
      </c>
      <c r="I55" s="96">
        <v>12000</v>
      </c>
      <c r="J55" s="96">
        <v>12000</v>
      </c>
      <c r="K55" s="96">
        <v>12000</v>
      </c>
      <c r="L55" s="96">
        <v>12000</v>
      </c>
      <c r="M55" s="96">
        <v>12000</v>
      </c>
      <c r="N55" s="96">
        <v>12000</v>
      </c>
      <c r="O55" s="96">
        <v>12000</v>
      </c>
      <c r="P55" s="96">
        <v>12000</v>
      </c>
      <c r="Q55" s="96">
        <v>12000</v>
      </c>
      <c r="R55" s="96">
        <v>12000</v>
      </c>
      <c r="S55" s="92">
        <f t="shared" si="2"/>
        <v>169374</v>
      </c>
      <c r="T55" s="96">
        <v>12000</v>
      </c>
      <c r="U55" s="96">
        <v>12000</v>
      </c>
      <c r="V55" s="96">
        <v>12000</v>
      </c>
      <c r="W55" s="96">
        <v>12000</v>
      </c>
    </row>
    <row r="56" spans="1:23" s="72" customFormat="1" ht="12.75" customHeight="1" x14ac:dyDescent="0.25">
      <c r="A56" s="101">
        <v>3151</v>
      </c>
      <c r="B56" s="415" t="s">
        <v>776</v>
      </c>
      <c r="C56" s="416"/>
      <c r="D56" s="95">
        <f t="shared" si="25"/>
        <v>30606</v>
      </c>
      <c r="E56" s="96">
        <v>2342</v>
      </c>
      <c r="F56" s="96">
        <v>2264</v>
      </c>
      <c r="G56" s="96">
        <v>2600</v>
      </c>
      <c r="H56" s="96">
        <v>2600</v>
      </c>
      <c r="I56" s="96">
        <v>2600</v>
      </c>
      <c r="J56" s="96">
        <v>2600</v>
      </c>
      <c r="K56" s="96">
        <v>2600</v>
      </c>
      <c r="L56" s="96">
        <v>2600</v>
      </c>
      <c r="M56" s="96">
        <v>2600</v>
      </c>
      <c r="N56" s="96">
        <v>2600</v>
      </c>
      <c r="O56" s="96">
        <v>2600</v>
      </c>
      <c r="P56" s="96">
        <v>2600</v>
      </c>
      <c r="Q56" s="96">
        <v>2600</v>
      </c>
      <c r="R56" s="96">
        <v>2600</v>
      </c>
      <c r="S56" s="92">
        <f t="shared" si="2"/>
        <v>35806</v>
      </c>
      <c r="T56" s="96">
        <v>2600</v>
      </c>
      <c r="U56" s="96">
        <v>2600</v>
      </c>
      <c r="V56" s="96">
        <v>2600</v>
      </c>
      <c r="W56" s="96">
        <v>2600</v>
      </c>
    </row>
    <row r="57" spans="1:23" s="72" customFormat="1" ht="12.75" customHeight="1" x14ac:dyDescent="0.25">
      <c r="A57" s="101">
        <v>3171</v>
      </c>
      <c r="B57" s="417" t="s">
        <v>777</v>
      </c>
      <c r="C57" s="418"/>
      <c r="D57" s="95">
        <f t="shared" si="25"/>
        <v>20400</v>
      </c>
      <c r="E57" s="96">
        <v>3400</v>
      </c>
      <c r="F57" s="96">
        <v>0</v>
      </c>
      <c r="G57" s="96">
        <v>1700</v>
      </c>
      <c r="H57" s="96">
        <v>1700</v>
      </c>
      <c r="I57" s="96">
        <v>1700</v>
      </c>
      <c r="J57" s="96">
        <v>1700</v>
      </c>
      <c r="K57" s="96">
        <v>1700</v>
      </c>
      <c r="L57" s="96">
        <v>1700</v>
      </c>
      <c r="M57" s="96">
        <v>1700</v>
      </c>
      <c r="N57" s="96">
        <v>1700</v>
      </c>
      <c r="O57" s="96">
        <v>1700</v>
      </c>
      <c r="P57" s="96">
        <v>1700</v>
      </c>
      <c r="Q57" s="96">
        <v>1700</v>
      </c>
      <c r="R57" s="96">
        <v>1700</v>
      </c>
      <c r="S57" s="92">
        <f t="shared" si="2"/>
        <v>23800</v>
      </c>
      <c r="T57" s="96">
        <v>1700</v>
      </c>
      <c r="U57" s="96">
        <v>1700</v>
      </c>
      <c r="V57" s="96">
        <v>1700</v>
      </c>
      <c r="W57" s="96">
        <v>1700</v>
      </c>
    </row>
    <row r="58" spans="1:23" s="72" customFormat="1" ht="12.75" customHeight="1" x14ac:dyDescent="0.25">
      <c r="A58" s="101">
        <v>3181</v>
      </c>
      <c r="B58" s="415" t="s">
        <v>778</v>
      </c>
      <c r="C58" s="416"/>
      <c r="D58" s="95">
        <f t="shared" si="25"/>
        <v>10572.83</v>
      </c>
      <c r="E58" s="96">
        <v>302.32</v>
      </c>
      <c r="F58" s="96">
        <v>270.51</v>
      </c>
      <c r="G58" s="96">
        <v>1000</v>
      </c>
      <c r="H58" s="96">
        <v>1000</v>
      </c>
      <c r="I58" s="96">
        <v>1000</v>
      </c>
      <c r="J58" s="96">
        <v>1000</v>
      </c>
      <c r="K58" s="96">
        <v>1000</v>
      </c>
      <c r="L58" s="96">
        <v>1000</v>
      </c>
      <c r="M58" s="96">
        <v>1000</v>
      </c>
      <c r="N58" s="96">
        <v>1000</v>
      </c>
      <c r="O58" s="96">
        <v>1000</v>
      </c>
      <c r="P58" s="96">
        <v>1000</v>
      </c>
      <c r="Q58" s="96">
        <v>1000</v>
      </c>
      <c r="R58" s="96">
        <v>1000</v>
      </c>
      <c r="S58" s="92">
        <f t="shared" si="2"/>
        <v>12572.83</v>
      </c>
      <c r="T58" s="96">
        <v>1000</v>
      </c>
      <c r="U58" s="96">
        <v>1000</v>
      </c>
      <c r="V58" s="96">
        <v>1000</v>
      </c>
      <c r="W58" s="96">
        <v>1000</v>
      </c>
    </row>
    <row r="59" spans="1:23" s="72" customFormat="1" ht="12.75" customHeight="1" x14ac:dyDescent="0.25">
      <c r="A59" s="101">
        <v>3191</v>
      </c>
      <c r="B59" s="415" t="s">
        <v>779</v>
      </c>
      <c r="C59" s="416"/>
      <c r="D59" s="95">
        <f t="shared" si="25"/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6">
        <v>0</v>
      </c>
      <c r="O59" s="96">
        <v>0</v>
      </c>
      <c r="P59" s="96">
        <v>0</v>
      </c>
      <c r="Q59" s="96">
        <v>0</v>
      </c>
      <c r="R59" s="96">
        <v>0</v>
      </c>
      <c r="S59" s="92">
        <f t="shared" si="2"/>
        <v>0</v>
      </c>
      <c r="T59" s="96">
        <v>0</v>
      </c>
      <c r="U59" s="96">
        <v>0</v>
      </c>
      <c r="V59" s="96">
        <v>0</v>
      </c>
      <c r="W59" s="96">
        <v>0</v>
      </c>
    </row>
    <row r="60" spans="1:23" s="72" customFormat="1" ht="12.75" customHeight="1" x14ac:dyDescent="0.25">
      <c r="A60" s="101"/>
      <c r="B60" s="102"/>
      <c r="C60" s="103"/>
      <c r="D60" s="95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2">
        <f t="shared" si="2"/>
        <v>0</v>
      </c>
      <c r="T60" s="96"/>
      <c r="U60" s="96"/>
      <c r="V60" s="96"/>
      <c r="W60" s="96"/>
    </row>
    <row r="61" spans="1:23" s="72" customFormat="1" ht="12.75" customHeight="1" x14ac:dyDescent="0.25">
      <c r="A61" s="101">
        <v>3221</v>
      </c>
      <c r="B61" s="415" t="s">
        <v>780</v>
      </c>
      <c r="C61" s="416"/>
      <c r="D61" s="95">
        <f>+E61+F61+G61+H61+I61+J61+K61+M61+T61+U61+V61+W61</f>
        <v>43200</v>
      </c>
      <c r="E61" s="96">
        <v>3600</v>
      </c>
      <c r="F61" s="96">
        <v>3600</v>
      </c>
      <c r="G61" s="96">
        <v>3600</v>
      </c>
      <c r="H61" s="96">
        <v>3600</v>
      </c>
      <c r="I61" s="96">
        <v>3600</v>
      </c>
      <c r="J61" s="96">
        <v>3600</v>
      </c>
      <c r="K61" s="96">
        <v>3600</v>
      </c>
      <c r="L61" s="96">
        <v>3600</v>
      </c>
      <c r="M61" s="96">
        <v>3600</v>
      </c>
      <c r="N61" s="96">
        <v>3600</v>
      </c>
      <c r="O61" s="96">
        <v>3600</v>
      </c>
      <c r="P61" s="96">
        <v>3600</v>
      </c>
      <c r="Q61" s="96">
        <v>3600</v>
      </c>
      <c r="R61" s="96">
        <v>3600</v>
      </c>
      <c r="S61" s="92">
        <f t="shared" si="2"/>
        <v>50400</v>
      </c>
      <c r="T61" s="96">
        <v>3600</v>
      </c>
      <c r="U61" s="96">
        <v>3600</v>
      </c>
      <c r="V61" s="96">
        <v>3600</v>
      </c>
      <c r="W61" s="96">
        <v>3600</v>
      </c>
    </row>
    <row r="62" spans="1:23" s="72" customFormat="1" ht="12.75" customHeight="1" x14ac:dyDescent="0.25">
      <c r="A62" s="101"/>
      <c r="B62" s="102"/>
      <c r="C62" s="103"/>
      <c r="D62" s="100">
        <f>SUM(D63:D69)</f>
        <v>2574169.06</v>
      </c>
      <c r="E62" s="100">
        <f t="shared" ref="E62:W62" si="26">SUM(E63:E69)</f>
        <v>190641.59000000003</v>
      </c>
      <c r="F62" s="100">
        <f t="shared" si="26"/>
        <v>181521.59</v>
      </c>
      <c r="G62" s="100">
        <f t="shared" si="26"/>
        <v>345660.59</v>
      </c>
      <c r="H62" s="100">
        <f t="shared" si="26"/>
        <v>203260.59000000003</v>
      </c>
      <c r="I62" s="100">
        <f t="shared" si="26"/>
        <v>203260.59000000003</v>
      </c>
      <c r="J62" s="100">
        <f t="shared" si="26"/>
        <v>209260.59000000003</v>
      </c>
      <c r="K62" s="100">
        <f t="shared" si="26"/>
        <v>203260.59000000003</v>
      </c>
      <c r="L62" s="100">
        <f t="shared" ref="L62:R62" si="27">SUM(L63:L69)</f>
        <v>203260.59000000003</v>
      </c>
      <c r="M62" s="100">
        <f t="shared" si="27"/>
        <v>203260.59000000003</v>
      </c>
      <c r="N62" s="100">
        <f t="shared" si="27"/>
        <v>209260.59000000003</v>
      </c>
      <c r="O62" s="100">
        <f t="shared" si="27"/>
        <v>203260.59000000003</v>
      </c>
      <c r="P62" s="100">
        <f t="shared" si="27"/>
        <v>209260.59000000003</v>
      </c>
      <c r="Q62" s="100">
        <f t="shared" si="27"/>
        <v>203260.59000000003</v>
      </c>
      <c r="R62" s="100">
        <f t="shared" si="27"/>
        <v>218260.57</v>
      </c>
      <c r="S62" s="92">
        <f t="shared" si="2"/>
        <v>2986690.2399999998</v>
      </c>
      <c r="T62" s="100">
        <f t="shared" si="26"/>
        <v>203260.59000000003</v>
      </c>
      <c r="U62" s="100">
        <f t="shared" si="26"/>
        <v>209260.59000000003</v>
      </c>
      <c r="V62" s="100">
        <f t="shared" si="26"/>
        <v>203260.59000000003</v>
      </c>
      <c r="W62" s="100">
        <f t="shared" si="26"/>
        <v>218260.57</v>
      </c>
    </row>
    <row r="63" spans="1:23" s="72" customFormat="1" ht="12.75" customHeight="1" x14ac:dyDescent="0.25">
      <c r="A63" s="101">
        <v>3311</v>
      </c>
      <c r="B63" s="415" t="s">
        <v>781</v>
      </c>
      <c r="C63" s="416"/>
      <c r="D63" s="95">
        <f t="shared" ref="D63:D69" si="28">+E63+F63+G63+H63+I63+J63+K63+M63+T63+U63+V63+W63</f>
        <v>142400</v>
      </c>
      <c r="E63" s="96">
        <v>0</v>
      </c>
      <c r="F63" s="96">
        <v>0</v>
      </c>
      <c r="G63" s="96">
        <v>142400</v>
      </c>
      <c r="H63" s="96">
        <v>0</v>
      </c>
      <c r="I63" s="96">
        <v>0</v>
      </c>
      <c r="J63" s="96">
        <v>0</v>
      </c>
      <c r="K63" s="96">
        <v>0</v>
      </c>
      <c r="L63" s="96">
        <v>0</v>
      </c>
      <c r="M63" s="96">
        <v>0</v>
      </c>
      <c r="N63" s="96">
        <v>0</v>
      </c>
      <c r="O63" s="96">
        <v>0</v>
      </c>
      <c r="P63" s="96">
        <v>0</v>
      </c>
      <c r="Q63" s="96">
        <v>0</v>
      </c>
      <c r="R63" s="96">
        <v>0</v>
      </c>
      <c r="S63" s="92">
        <f t="shared" si="2"/>
        <v>142400</v>
      </c>
      <c r="T63" s="96">
        <v>0</v>
      </c>
      <c r="U63" s="96">
        <v>0</v>
      </c>
      <c r="V63" s="96">
        <v>0</v>
      </c>
      <c r="W63" s="96">
        <v>0</v>
      </c>
    </row>
    <row r="64" spans="1:23" s="72" customFormat="1" ht="18.75" customHeight="1" x14ac:dyDescent="0.25">
      <c r="A64" s="101">
        <v>3331</v>
      </c>
      <c r="B64" s="415" t="s">
        <v>782</v>
      </c>
      <c r="C64" s="416"/>
      <c r="D64" s="95">
        <f t="shared" si="28"/>
        <v>195000.13</v>
      </c>
      <c r="E64" s="96">
        <v>15000.01</v>
      </c>
      <c r="F64" s="96">
        <v>15000.01</v>
      </c>
      <c r="G64" s="96">
        <v>15000.01</v>
      </c>
      <c r="H64" s="96">
        <v>15000.01</v>
      </c>
      <c r="I64" s="96">
        <v>15000.01</v>
      </c>
      <c r="J64" s="96">
        <v>15000.01</v>
      </c>
      <c r="K64" s="96">
        <v>15000.01</v>
      </c>
      <c r="L64" s="96">
        <v>15000.01</v>
      </c>
      <c r="M64" s="96">
        <v>15000.01</v>
      </c>
      <c r="N64" s="96">
        <v>15000.01</v>
      </c>
      <c r="O64" s="96">
        <v>15000.01</v>
      </c>
      <c r="P64" s="96">
        <v>15000.01</v>
      </c>
      <c r="Q64" s="96">
        <v>15000.01</v>
      </c>
      <c r="R64" s="96">
        <v>30000.02</v>
      </c>
      <c r="S64" s="92">
        <f t="shared" si="2"/>
        <v>225000.15000000002</v>
      </c>
      <c r="T64" s="96">
        <v>15000.01</v>
      </c>
      <c r="U64" s="96">
        <v>15000.01</v>
      </c>
      <c r="V64" s="96">
        <v>15000.01</v>
      </c>
      <c r="W64" s="96">
        <v>30000.02</v>
      </c>
    </row>
    <row r="65" spans="1:23" s="72" customFormat="1" ht="12.75" customHeight="1" x14ac:dyDescent="0.25">
      <c r="A65" s="101">
        <v>3341</v>
      </c>
      <c r="B65" s="415" t="s">
        <v>783</v>
      </c>
      <c r="C65" s="416"/>
      <c r="D65" s="95">
        <f t="shared" si="28"/>
        <v>22500</v>
      </c>
      <c r="E65" s="96">
        <v>10500</v>
      </c>
      <c r="F65" s="96">
        <v>0</v>
      </c>
      <c r="G65" s="96">
        <v>0</v>
      </c>
      <c r="H65" s="96">
        <v>0</v>
      </c>
      <c r="I65" s="96">
        <v>0</v>
      </c>
      <c r="J65" s="96">
        <v>6000</v>
      </c>
      <c r="K65" s="96">
        <v>0</v>
      </c>
      <c r="L65" s="96">
        <v>0</v>
      </c>
      <c r="M65" s="96">
        <v>0</v>
      </c>
      <c r="N65" s="96">
        <v>6000</v>
      </c>
      <c r="O65" s="96">
        <v>0</v>
      </c>
      <c r="P65" s="96">
        <v>6000</v>
      </c>
      <c r="Q65" s="96">
        <v>0</v>
      </c>
      <c r="R65" s="96">
        <v>0</v>
      </c>
      <c r="S65" s="92">
        <f t="shared" si="2"/>
        <v>28500</v>
      </c>
      <c r="T65" s="96">
        <v>0</v>
      </c>
      <c r="U65" s="96">
        <v>6000</v>
      </c>
      <c r="V65" s="96">
        <v>0</v>
      </c>
      <c r="W65" s="96">
        <v>0</v>
      </c>
    </row>
    <row r="66" spans="1:23" s="72" customFormat="1" ht="12.75" customHeight="1" x14ac:dyDescent="0.25">
      <c r="A66" s="101">
        <v>3350</v>
      </c>
      <c r="B66" s="102" t="s">
        <v>784</v>
      </c>
      <c r="C66" s="103"/>
      <c r="D66" s="95">
        <f t="shared" si="28"/>
        <v>360000</v>
      </c>
      <c r="E66" s="96">
        <v>30000</v>
      </c>
      <c r="F66" s="96">
        <v>30000</v>
      </c>
      <c r="G66" s="96">
        <v>30000</v>
      </c>
      <c r="H66" s="96">
        <v>30000</v>
      </c>
      <c r="I66" s="96">
        <v>30000</v>
      </c>
      <c r="J66" s="96">
        <v>30000</v>
      </c>
      <c r="K66" s="96">
        <v>30000</v>
      </c>
      <c r="L66" s="96">
        <v>30000</v>
      </c>
      <c r="M66" s="96">
        <v>30000</v>
      </c>
      <c r="N66" s="96">
        <v>30000</v>
      </c>
      <c r="O66" s="96">
        <v>30000</v>
      </c>
      <c r="P66" s="96">
        <v>30000</v>
      </c>
      <c r="Q66" s="96">
        <v>30000</v>
      </c>
      <c r="R66" s="96">
        <v>30000</v>
      </c>
      <c r="S66" s="92">
        <f t="shared" si="2"/>
        <v>420000</v>
      </c>
      <c r="T66" s="96">
        <v>30000</v>
      </c>
      <c r="U66" s="96">
        <v>30000</v>
      </c>
      <c r="V66" s="96">
        <v>30000</v>
      </c>
      <c r="W66" s="96">
        <v>30000</v>
      </c>
    </row>
    <row r="67" spans="1:23" s="72" customFormat="1" ht="16.5" customHeight="1" x14ac:dyDescent="0.25">
      <c r="A67" s="101">
        <v>3361</v>
      </c>
      <c r="B67" s="415" t="s">
        <v>785</v>
      </c>
      <c r="C67" s="416"/>
      <c r="D67" s="95">
        <f t="shared" si="28"/>
        <v>40000</v>
      </c>
      <c r="E67" s="96">
        <v>0</v>
      </c>
      <c r="F67" s="96">
        <v>0</v>
      </c>
      <c r="G67" s="96">
        <v>4000</v>
      </c>
      <c r="H67" s="96">
        <v>4000</v>
      </c>
      <c r="I67" s="96">
        <v>4000</v>
      </c>
      <c r="J67" s="96">
        <v>4000</v>
      </c>
      <c r="K67" s="96">
        <v>4000</v>
      </c>
      <c r="L67" s="96">
        <v>4000</v>
      </c>
      <c r="M67" s="96">
        <v>4000</v>
      </c>
      <c r="N67" s="96">
        <v>4000</v>
      </c>
      <c r="O67" s="96">
        <v>4000</v>
      </c>
      <c r="P67" s="96">
        <v>4000</v>
      </c>
      <c r="Q67" s="96">
        <v>4000</v>
      </c>
      <c r="R67" s="96">
        <v>4000</v>
      </c>
      <c r="S67" s="92">
        <f t="shared" si="2"/>
        <v>48000</v>
      </c>
      <c r="T67" s="96">
        <v>4000</v>
      </c>
      <c r="U67" s="96">
        <v>4000</v>
      </c>
      <c r="V67" s="96">
        <v>4000</v>
      </c>
      <c r="W67" s="96">
        <v>4000</v>
      </c>
    </row>
    <row r="68" spans="1:23" s="72" customFormat="1" ht="12.75" customHeight="1" x14ac:dyDescent="0.25">
      <c r="A68" s="101">
        <v>3381</v>
      </c>
      <c r="B68" s="415" t="s">
        <v>786</v>
      </c>
      <c r="C68" s="416"/>
      <c r="D68" s="95">
        <f t="shared" si="28"/>
        <v>405438</v>
      </c>
      <c r="E68" s="96">
        <v>17739</v>
      </c>
      <c r="F68" s="96">
        <v>19119</v>
      </c>
      <c r="G68" s="96">
        <v>36858</v>
      </c>
      <c r="H68" s="96">
        <v>36858</v>
      </c>
      <c r="I68" s="96">
        <v>36858</v>
      </c>
      <c r="J68" s="96">
        <v>36858</v>
      </c>
      <c r="K68" s="96">
        <v>36858</v>
      </c>
      <c r="L68" s="96">
        <v>36858</v>
      </c>
      <c r="M68" s="96">
        <v>36858</v>
      </c>
      <c r="N68" s="96">
        <v>36858</v>
      </c>
      <c r="O68" s="96">
        <v>36858</v>
      </c>
      <c r="P68" s="96">
        <v>36858</v>
      </c>
      <c r="Q68" s="96">
        <v>36858</v>
      </c>
      <c r="R68" s="96">
        <v>36858</v>
      </c>
      <c r="S68" s="92">
        <f t="shared" si="2"/>
        <v>479154</v>
      </c>
      <c r="T68" s="96">
        <v>36858</v>
      </c>
      <c r="U68" s="96">
        <v>36858</v>
      </c>
      <c r="V68" s="96">
        <v>36858</v>
      </c>
      <c r="W68" s="96">
        <v>36858</v>
      </c>
    </row>
    <row r="69" spans="1:23" s="72" customFormat="1" ht="12.75" customHeight="1" x14ac:dyDescent="0.25">
      <c r="A69" s="101">
        <v>3391</v>
      </c>
      <c r="B69" s="415" t="s">
        <v>787</v>
      </c>
      <c r="C69" s="416"/>
      <c r="D69" s="95">
        <f t="shared" si="28"/>
        <v>1408830.9300000002</v>
      </c>
      <c r="E69" s="96">
        <v>117402.58</v>
      </c>
      <c r="F69" s="96">
        <v>117402.58</v>
      </c>
      <c r="G69" s="96">
        <v>117402.58</v>
      </c>
      <c r="H69" s="96">
        <v>117402.58</v>
      </c>
      <c r="I69" s="96">
        <v>117402.58</v>
      </c>
      <c r="J69" s="96">
        <v>117402.58</v>
      </c>
      <c r="K69" s="96">
        <v>117402.58</v>
      </c>
      <c r="L69" s="96">
        <v>117402.58</v>
      </c>
      <c r="M69" s="96">
        <v>117402.58</v>
      </c>
      <c r="N69" s="96">
        <v>117402.58</v>
      </c>
      <c r="O69" s="96">
        <v>117402.58</v>
      </c>
      <c r="P69" s="96">
        <v>117402.58</v>
      </c>
      <c r="Q69" s="96">
        <v>117402.58</v>
      </c>
      <c r="R69" s="96">
        <v>117402.55</v>
      </c>
      <c r="S69" s="92">
        <f t="shared" si="2"/>
        <v>1643636.0900000003</v>
      </c>
      <c r="T69" s="96">
        <v>117402.58</v>
      </c>
      <c r="U69" s="96">
        <v>117402.58</v>
      </c>
      <c r="V69" s="96">
        <v>117402.58</v>
      </c>
      <c r="W69" s="96">
        <v>117402.55</v>
      </c>
    </row>
    <row r="70" spans="1:23" s="72" customFormat="1" ht="12.75" customHeight="1" x14ac:dyDescent="0.25">
      <c r="A70" s="101"/>
      <c r="B70" s="102"/>
      <c r="C70" s="103"/>
      <c r="D70" s="100">
        <f>SUM(D71:D74)</f>
        <v>66348</v>
      </c>
      <c r="E70" s="100">
        <f t="shared" ref="E70:W70" si="29">SUM(E71:E74)</f>
        <v>348</v>
      </c>
      <c r="F70" s="100">
        <f t="shared" si="29"/>
        <v>0</v>
      </c>
      <c r="G70" s="100">
        <f t="shared" si="29"/>
        <v>5500</v>
      </c>
      <c r="H70" s="100">
        <f t="shared" si="29"/>
        <v>2500</v>
      </c>
      <c r="I70" s="100">
        <f t="shared" si="29"/>
        <v>500</v>
      </c>
      <c r="J70" s="100">
        <f t="shared" si="29"/>
        <v>52500</v>
      </c>
      <c r="K70" s="100">
        <f t="shared" si="29"/>
        <v>500</v>
      </c>
      <c r="L70" s="100">
        <f t="shared" ref="L70:R70" si="30">SUM(L71:L74)</f>
        <v>2500</v>
      </c>
      <c r="M70" s="100">
        <f t="shared" si="30"/>
        <v>500</v>
      </c>
      <c r="N70" s="100">
        <f t="shared" si="30"/>
        <v>2500</v>
      </c>
      <c r="O70" s="100">
        <f t="shared" si="30"/>
        <v>500</v>
      </c>
      <c r="P70" s="100">
        <f t="shared" si="30"/>
        <v>2500</v>
      </c>
      <c r="Q70" s="100">
        <f t="shared" si="30"/>
        <v>500</v>
      </c>
      <c r="R70" s="100">
        <f t="shared" si="30"/>
        <v>500</v>
      </c>
      <c r="S70" s="92">
        <f t="shared" si="2"/>
        <v>71348</v>
      </c>
      <c r="T70" s="100">
        <f t="shared" si="29"/>
        <v>500</v>
      </c>
      <c r="U70" s="100">
        <f t="shared" si="29"/>
        <v>2500</v>
      </c>
      <c r="V70" s="100">
        <f t="shared" si="29"/>
        <v>500</v>
      </c>
      <c r="W70" s="100">
        <f t="shared" si="29"/>
        <v>500</v>
      </c>
    </row>
    <row r="71" spans="1:23" s="72" customFormat="1" ht="12.75" customHeight="1" x14ac:dyDescent="0.25">
      <c r="A71" s="101">
        <v>3411</v>
      </c>
      <c r="B71" s="415" t="s">
        <v>788</v>
      </c>
      <c r="C71" s="416"/>
      <c r="D71" s="95">
        <f>+E71+F71+G71+H71+I71+J71+K71+M71+T71+U71+V71+W71</f>
        <v>5348</v>
      </c>
      <c r="E71" s="96">
        <v>348</v>
      </c>
      <c r="F71" s="96">
        <v>0</v>
      </c>
      <c r="G71" s="96">
        <v>500</v>
      </c>
      <c r="H71" s="96">
        <v>500</v>
      </c>
      <c r="I71" s="96">
        <v>500</v>
      </c>
      <c r="J71" s="96">
        <v>500</v>
      </c>
      <c r="K71" s="96">
        <v>500</v>
      </c>
      <c r="L71" s="96">
        <v>500</v>
      </c>
      <c r="M71" s="96">
        <v>500</v>
      </c>
      <c r="N71" s="96">
        <v>500</v>
      </c>
      <c r="O71" s="96">
        <v>500</v>
      </c>
      <c r="P71" s="96">
        <v>500</v>
      </c>
      <c r="Q71" s="96">
        <v>500</v>
      </c>
      <c r="R71" s="96">
        <v>500</v>
      </c>
      <c r="S71" s="92">
        <f t="shared" si="2"/>
        <v>6348</v>
      </c>
      <c r="T71" s="96">
        <v>500</v>
      </c>
      <c r="U71" s="96">
        <v>500</v>
      </c>
      <c r="V71" s="96">
        <v>500</v>
      </c>
      <c r="W71" s="96">
        <v>500</v>
      </c>
    </row>
    <row r="72" spans="1:23" s="72" customFormat="1" ht="12.75" customHeight="1" x14ac:dyDescent="0.25">
      <c r="A72" s="101">
        <v>3441</v>
      </c>
      <c r="B72" s="415" t="s">
        <v>789</v>
      </c>
      <c r="C72" s="416"/>
      <c r="D72" s="95">
        <f>+E72+F72+G72+H72+I72+J72+K72+M72+T72+U72+V72+W72</f>
        <v>6000</v>
      </c>
      <c r="E72" s="96">
        <v>0</v>
      </c>
      <c r="F72" s="96">
        <v>0</v>
      </c>
      <c r="G72" s="96">
        <v>0</v>
      </c>
      <c r="H72" s="96">
        <v>2000</v>
      </c>
      <c r="I72" s="96">
        <v>0</v>
      </c>
      <c r="J72" s="96">
        <v>2000</v>
      </c>
      <c r="K72" s="96">
        <v>0</v>
      </c>
      <c r="L72" s="96">
        <v>2000</v>
      </c>
      <c r="M72" s="96">
        <v>0</v>
      </c>
      <c r="N72" s="96">
        <v>2000</v>
      </c>
      <c r="O72" s="96">
        <v>0</v>
      </c>
      <c r="P72" s="96">
        <v>2000</v>
      </c>
      <c r="Q72" s="96">
        <v>0</v>
      </c>
      <c r="R72" s="96">
        <v>0</v>
      </c>
      <c r="S72" s="92">
        <f t="shared" si="2"/>
        <v>10000</v>
      </c>
      <c r="T72" s="96">
        <v>0</v>
      </c>
      <c r="U72" s="96">
        <v>2000</v>
      </c>
      <c r="V72" s="96">
        <v>0</v>
      </c>
      <c r="W72" s="96">
        <v>0</v>
      </c>
    </row>
    <row r="73" spans="1:23" s="72" customFormat="1" ht="12.75" customHeight="1" x14ac:dyDescent="0.25">
      <c r="A73" s="101">
        <v>3451</v>
      </c>
      <c r="B73" s="415" t="s">
        <v>790</v>
      </c>
      <c r="C73" s="416"/>
      <c r="D73" s="95">
        <f>+E73+F73+G73+H73+I73+J73+K73+M73+T73+U73+V73+W73</f>
        <v>50000</v>
      </c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50000</v>
      </c>
      <c r="K73" s="96">
        <v>0</v>
      </c>
      <c r="L73" s="96">
        <v>0</v>
      </c>
      <c r="M73" s="96">
        <v>0</v>
      </c>
      <c r="N73" s="96">
        <v>0</v>
      </c>
      <c r="O73" s="96">
        <v>0</v>
      </c>
      <c r="P73" s="96">
        <v>0</v>
      </c>
      <c r="Q73" s="96">
        <v>0</v>
      </c>
      <c r="R73" s="96">
        <v>0</v>
      </c>
      <c r="S73" s="92">
        <f t="shared" si="2"/>
        <v>50000</v>
      </c>
      <c r="T73" s="96">
        <v>0</v>
      </c>
      <c r="U73" s="96">
        <v>0</v>
      </c>
      <c r="V73" s="96">
        <v>0</v>
      </c>
      <c r="W73" s="96">
        <v>0</v>
      </c>
    </row>
    <row r="74" spans="1:23" s="72" customFormat="1" ht="12.75" customHeight="1" x14ac:dyDescent="0.25">
      <c r="A74" s="101">
        <v>3491</v>
      </c>
      <c r="B74" s="415" t="s">
        <v>791</v>
      </c>
      <c r="C74" s="416"/>
      <c r="D74" s="95">
        <f>+E74+F74+G74+H74+I74+J74+K74+M74+T74+U74+V74+W74</f>
        <v>5000</v>
      </c>
      <c r="E74" s="96">
        <v>0</v>
      </c>
      <c r="F74" s="96">
        <v>0</v>
      </c>
      <c r="G74" s="96">
        <v>5000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96">
        <v>0</v>
      </c>
      <c r="O74" s="96">
        <v>0</v>
      </c>
      <c r="P74" s="96">
        <v>0</v>
      </c>
      <c r="Q74" s="96">
        <v>0</v>
      </c>
      <c r="R74" s="96">
        <v>0</v>
      </c>
      <c r="S74" s="92">
        <f t="shared" si="2"/>
        <v>5000</v>
      </c>
      <c r="T74" s="96">
        <v>0</v>
      </c>
      <c r="U74" s="96">
        <v>0</v>
      </c>
      <c r="V74" s="96">
        <v>0</v>
      </c>
      <c r="W74" s="96">
        <v>0</v>
      </c>
    </row>
    <row r="75" spans="1:23" s="72" customFormat="1" ht="12.75" customHeight="1" x14ac:dyDescent="0.25">
      <c r="A75" s="101"/>
      <c r="B75" s="102"/>
      <c r="C75" s="103"/>
      <c r="D75" s="100">
        <f>SUM(D76:D79)</f>
        <v>119899.44</v>
      </c>
      <c r="E75" s="100">
        <f t="shared" ref="E75:W75" si="31">SUM(E76:E79)</f>
        <v>0</v>
      </c>
      <c r="F75" s="100">
        <f t="shared" si="31"/>
        <v>4899.4399999999996</v>
      </c>
      <c r="G75" s="100">
        <f t="shared" si="31"/>
        <v>11500</v>
      </c>
      <c r="H75" s="100">
        <f t="shared" si="31"/>
        <v>11500</v>
      </c>
      <c r="I75" s="100">
        <f t="shared" si="31"/>
        <v>11500</v>
      </c>
      <c r="J75" s="100">
        <f t="shared" si="31"/>
        <v>11500</v>
      </c>
      <c r="K75" s="100">
        <f t="shared" si="31"/>
        <v>11500</v>
      </c>
      <c r="L75" s="100">
        <f t="shared" ref="L75:R75" si="32">SUM(L76:L79)</f>
        <v>11500</v>
      </c>
      <c r="M75" s="100">
        <f t="shared" si="32"/>
        <v>11500</v>
      </c>
      <c r="N75" s="100">
        <f t="shared" si="32"/>
        <v>11500</v>
      </c>
      <c r="O75" s="100">
        <f t="shared" si="32"/>
        <v>11500</v>
      </c>
      <c r="P75" s="100">
        <f t="shared" si="32"/>
        <v>11500</v>
      </c>
      <c r="Q75" s="100">
        <f t="shared" si="32"/>
        <v>11500</v>
      </c>
      <c r="R75" s="100">
        <f t="shared" si="32"/>
        <v>11500</v>
      </c>
      <c r="S75" s="92">
        <f t="shared" si="2"/>
        <v>142899.44</v>
      </c>
      <c r="T75" s="100">
        <f t="shared" si="31"/>
        <v>11500</v>
      </c>
      <c r="U75" s="100">
        <f t="shared" si="31"/>
        <v>11500</v>
      </c>
      <c r="V75" s="100">
        <f t="shared" si="31"/>
        <v>11500</v>
      </c>
      <c r="W75" s="100">
        <f t="shared" si="31"/>
        <v>11500</v>
      </c>
    </row>
    <row r="76" spans="1:23" s="72" customFormat="1" ht="12.75" customHeight="1" x14ac:dyDescent="0.25">
      <c r="A76" s="101">
        <v>3511</v>
      </c>
      <c r="B76" s="415" t="s">
        <v>792</v>
      </c>
      <c r="C76" s="416"/>
      <c r="D76" s="95">
        <f>+E76+F76+G76+H76+I76+J76+K76+M76+T76+U76+V76+W76</f>
        <v>10000</v>
      </c>
      <c r="E76" s="96">
        <v>0</v>
      </c>
      <c r="F76" s="96">
        <v>0</v>
      </c>
      <c r="G76" s="96">
        <v>1000</v>
      </c>
      <c r="H76" s="96">
        <v>1000</v>
      </c>
      <c r="I76" s="96">
        <v>1000</v>
      </c>
      <c r="J76" s="96">
        <v>1000</v>
      </c>
      <c r="K76" s="96">
        <v>1000</v>
      </c>
      <c r="L76" s="96">
        <v>1000</v>
      </c>
      <c r="M76" s="96">
        <v>1000</v>
      </c>
      <c r="N76" s="96">
        <v>1000</v>
      </c>
      <c r="O76" s="96">
        <v>1000</v>
      </c>
      <c r="P76" s="96">
        <v>1000</v>
      </c>
      <c r="Q76" s="96">
        <v>1000</v>
      </c>
      <c r="R76" s="96">
        <v>1000</v>
      </c>
      <c r="S76" s="92">
        <f t="shared" si="2"/>
        <v>12000</v>
      </c>
      <c r="T76" s="96">
        <v>1000</v>
      </c>
      <c r="U76" s="96">
        <v>1000</v>
      </c>
      <c r="V76" s="96">
        <v>1000</v>
      </c>
      <c r="W76" s="96">
        <v>1000</v>
      </c>
    </row>
    <row r="77" spans="1:23" s="72" customFormat="1" ht="17.25" customHeight="1" x14ac:dyDescent="0.25">
      <c r="A77" s="101">
        <v>3521</v>
      </c>
      <c r="B77" s="415" t="s">
        <v>793</v>
      </c>
      <c r="C77" s="416"/>
      <c r="D77" s="95">
        <f>+E77+F77+G77+H77+I77+J77+K77+M77+T77+U77+V77+W77</f>
        <v>5000</v>
      </c>
      <c r="E77" s="96">
        <v>0</v>
      </c>
      <c r="F77" s="96">
        <v>0</v>
      </c>
      <c r="G77" s="96">
        <v>500</v>
      </c>
      <c r="H77" s="96">
        <v>500</v>
      </c>
      <c r="I77" s="96">
        <v>500</v>
      </c>
      <c r="J77" s="96">
        <v>500</v>
      </c>
      <c r="K77" s="96">
        <v>500</v>
      </c>
      <c r="L77" s="96">
        <v>500</v>
      </c>
      <c r="M77" s="96">
        <v>500</v>
      </c>
      <c r="N77" s="96">
        <v>500</v>
      </c>
      <c r="O77" s="96">
        <v>500</v>
      </c>
      <c r="P77" s="96">
        <v>500</v>
      </c>
      <c r="Q77" s="96">
        <v>500</v>
      </c>
      <c r="R77" s="96">
        <v>500</v>
      </c>
      <c r="S77" s="92">
        <f t="shared" si="2"/>
        <v>6000</v>
      </c>
      <c r="T77" s="96">
        <v>500</v>
      </c>
      <c r="U77" s="96">
        <v>500</v>
      </c>
      <c r="V77" s="96">
        <v>500</v>
      </c>
      <c r="W77" s="96">
        <v>500</v>
      </c>
    </row>
    <row r="78" spans="1:23" s="72" customFormat="1" ht="16.5" customHeight="1" x14ac:dyDescent="0.25">
      <c r="A78" s="101">
        <v>3531</v>
      </c>
      <c r="B78" s="415" t="s">
        <v>794</v>
      </c>
      <c r="C78" s="416"/>
      <c r="D78" s="95">
        <f>+E78+F78+G78+H78+I78+J78+K78+M78+T78+U78+V78+W78</f>
        <v>20000</v>
      </c>
      <c r="E78" s="96">
        <v>0</v>
      </c>
      <c r="F78" s="96">
        <v>0</v>
      </c>
      <c r="G78" s="96">
        <v>2000</v>
      </c>
      <c r="H78" s="96">
        <v>2000</v>
      </c>
      <c r="I78" s="96">
        <v>2000</v>
      </c>
      <c r="J78" s="96">
        <v>2000</v>
      </c>
      <c r="K78" s="96">
        <v>2000</v>
      </c>
      <c r="L78" s="96">
        <v>2000</v>
      </c>
      <c r="M78" s="96">
        <v>2000</v>
      </c>
      <c r="N78" s="96">
        <v>2000</v>
      </c>
      <c r="O78" s="96">
        <v>2000</v>
      </c>
      <c r="P78" s="96">
        <v>2000</v>
      </c>
      <c r="Q78" s="96">
        <v>2000</v>
      </c>
      <c r="R78" s="96">
        <v>2000</v>
      </c>
      <c r="S78" s="92">
        <f t="shared" si="2"/>
        <v>24000</v>
      </c>
      <c r="T78" s="96">
        <v>2000</v>
      </c>
      <c r="U78" s="96">
        <v>2000</v>
      </c>
      <c r="V78" s="96">
        <v>2000</v>
      </c>
      <c r="W78" s="96">
        <v>2000</v>
      </c>
    </row>
    <row r="79" spans="1:23" s="72" customFormat="1" ht="12.75" customHeight="1" x14ac:dyDescent="0.25">
      <c r="A79" s="101">
        <v>3551</v>
      </c>
      <c r="B79" s="415" t="s">
        <v>795</v>
      </c>
      <c r="C79" s="416"/>
      <c r="D79" s="95">
        <f>+E79+F79+G79+H79+I79+J79+K79+M79+T79+U79+V79+W79</f>
        <v>84899.44</v>
      </c>
      <c r="E79" s="96">
        <v>0</v>
      </c>
      <c r="F79" s="96">
        <v>4899.4399999999996</v>
      </c>
      <c r="G79" s="96">
        <v>8000</v>
      </c>
      <c r="H79" s="96">
        <v>8000</v>
      </c>
      <c r="I79" s="96">
        <v>8000</v>
      </c>
      <c r="J79" s="96">
        <v>8000</v>
      </c>
      <c r="K79" s="96">
        <v>8000</v>
      </c>
      <c r="L79" s="96">
        <v>8000</v>
      </c>
      <c r="M79" s="96">
        <v>8000</v>
      </c>
      <c r="N79" s="96">
        <v>8000</v>
      </c>
      <c r="O79" s="96">
        <v>8000</v>
      </c>
      <c r="P79" s="96">
        <v>8000</v>
      </c>
      <c r="Q79" s="96">
        <v>8000</v>
      </c>
      <c r="R79" s="96">
        <v>8000</v>
      </c>
      <c r="S79" s="92">
        <f t="shared" ref="S79:S104" si="33">SUM(E79:R79)</f>
        <v>100899.44</v>
      </c>
      <c r="T79" s="96">
        <v>8000</v>
      </c>
      <c r="U79" s="96">
        <v>8000</v>
      </c>
      <c r="V79" s="96">
        <v>8000</v>
      </c>
      <c r="W79" s="96">
        <v>8000</v>
      </c>
    </row>
    <row r="80" spans="1:23" s="72" customFormat="1" ht="12.75" customHeight="1" x14ac:dyDescent="0.25">
      <c r="A80" s="101"/>
      <c r="B80" s="102"/>
      <c r="C80" s="103"/>
      <c r="D80" s="95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2">
        <f t="shared" si="33"/>
        <v>0</v>
      </c>
      <c r="T80" s="96"/>
      <c r="U80" s="96"/>
      <c r="V80" s="96"/>
      <c r="W80" s="96"/>
    </row>
    <row r="81" spans="1:23" s="72" customFormat="1" ht="18" customHeight="1" x14ac:dyDescent="0.25">
      <c r="A81" s="101">
        <v>3611</v>
      </c>
      <c r="B81" s="415" t="s">
        <v>796</v>
      </c>
      <c r="C81" s="416"/>
      <c r="D81" s="95">
        <f>+E81+F81+G81+H81+I81+J81+K81+M81+T81+U81+V81+W81</f>
        <v>20000</v>
      </c>
      <c r="E81" s="96">
        <v>0</v>
      </c>
      <c r="F81" s="96">
        <v>0</v>
      </c>
      <c r="G81" s="96">
        <v>2000</v>
      </c>
      <c r="H81" s="96">
        <v>2000</v>
      </c>
      <c r="I81" s="96">
        <v>2000</v>
      </c>
      <c r="J81" s="96">
        <v>2000</v>
      </c>
      <c r="K81" s="96">
        <v>2000</v>
      </c>
      <c r="L81" s="96">
        <v>2000</v>
      </c>
      <c r="M81" s="96">
        <v>2000</v>
      </c>
      <c r="N81" s="96">
        <v>2000</v>
      </c>
      <c r="O81" s="96">
        <v>2000</v>
      </c>
      <c r="P81" s="96">
        <v>2000</v>
      </c>
      <c r="Q81" s="96">
        <v>2000</v>
      </c>
      <c r="R81" s="96">
        <v>2000</v>
      </c>
      <c r="S81" s="92">
        <f t="shared" si="33"/>
        <v>24000</v>
      </c>
      <c r="T81" s="96">
        <v>2000</v>
      </c>
      <c r="U81" s="96">
        <v>2000</v>
      </c>
      <c r="V81" s="96">
        <v>2000</v>
      </c>
      <c r="W81" s="96">
        <v>2000</v>
      </c>
    </row>
    <row r="82" spans="1:23" s="72" customFormat="1" ht="18" customHeight="1" x14ac:dyDescent="0.25">
      <c r="A82" s="101"/>
      <c r="B82" s="102"/>
      <c r="C82" s="103"/>
      <c r="D82" s="100">
        <f>SUM(D83:D88)</f>
        <v>204157.84</v>
      </c>
      <c r="E82" s="100">
        <f t="shared" ref="E82:W82" si="34">SUM(E83:E88)</f>
        <v>5827</v>
      </c>
      <c r="F82" s="100">
        <f t="shared" si="34"/>
        <v>2330.84</v>
      </c>
      <c r="G82" s="100">
        <f t="shared" si="34"/>
        <v>30200</v>
      </c>
      <c r="H82" s="100">
        <f t="shared" si="34"/>
        <v>15200</v>
      </c>
      <c r="I82" s="100">
        <f t="shared" si="34"/>
        <v>44200</v>
      </c>
      <c r="J82" s="100">
        <f t="shared" si="34"/>
        <v>15200</v>
      </c>
      <c r="K82" s="100">
        <f t="shared" si="34"/>
        <v>15200</v>
      </c>
      <c r="L82" s="100">
        <f t="shared" ref="L82:R82" si="35">SUM(L83:L88)</f>
        <v>44200</v>
      </c>
      <c r="M82" s="100">
        <f t="shared" si="35"/>
        <v>15200</v>
      </c>
      <c r="N82" s="100">
        <f t="shared" si="35"/>
        <v>15200</v>
      </c>
      <c r="O82" s="100">
        <f t="shared" si="35"/>
        <v>15200</v>
      </c>
      <c r="P82" s="100">
        <f t="shared" si="35"/>
        <v>15200</v>
      </c>
      <c r="Q82" s="100">
        <f t="shared" si="35"/>
        <v>15200</v>
      </c>
      <c r="R82" s="100">
        <f t="shared" si="35"/>
        <v>15200</v>
      </c>
      <c r="S82" s="92">
        <f t="shared" si="33"/>
        <v>263557.83999999997</v>
      </c>
      <c r="T82" s="100">
        <f t="shared" si="34"/>
        <v>15200</v>
      </c>
      <c r="U82" s="100">
        <f t="shared" si="34"/>
        <v>15200</v>
      </c>
      <c r="V82" s="100">
        <f t="shared" si="34"/>
        <v>15200</v>
      </c>
      <c r="W82" s="100">
        <f t="shared" si="34"/>
        <v>15200</v>
      </c>
    </row>
    <row r="83" spans="1:23" s="72" customFormat="1" ht="12.75" customHeight="1" x14ac:dyDescent="0.25">
      <c r="A83" s="101">
        <v>3711</v>
      </c>
      <c r="B83" s="415" t="s">
        <v>797</v>
      </c>
      <c r="C83" s="416"/>
      <c r="D83" s="95">
        <f t="shared" ref="D83:D88" si="36">+E83+F83+G83+H83+I83+J83+K83+M83+T83+U83+V83+W83</f>
        <v>50000</v>
      </c>
      <c r="E83" s="96">
        <v>0</v>
      </c>
      <c r="F83" s="96">
        <v>0</v>
      </c>
      <c r="G83" s="96">
        <v>5000</v>
      </c>
      <c r="H83" s="96">
        <v>5000</v>
      </c>
      <c r="I83" s="96">
        <v>5000</v>
      </c>
      <c r="J83" s="96">
        <v>5000</v>
      </c>
      <c r="K83" s="96">
        <v>5000</v>
      </c>
      <c r="L83" s="96">
        <v>5000</v>
      </c>
      <c r="M83" s="96">
        <v>5000</v>
      </c>
      <c r="N83" s="96">
        <v>5000</v>
      </c>
      <c r="O83" s="96">
        <v>5000</v>
      </c>
      <c r="P83" s="96">
        <v>5000</v>
      </c>
      <c r="Q83" s="96">
        <v>5000</v>
      </c>
      <c r="R83" s="96">
        <v>5000</v>
      </c>
      <c r="S83" s="92">
        <f t="shared" si="33"/>
        <v>60000</v>
      </c>
      <c r="T83" s="96">
        <v>5000</v>
      </c>
      <c r="U83" s="96">
        <v>5000</v>
      </c>
      <c r="V83" s="96">
        <v>5000</v>
      </c>
      <c r="W83" s="96">
        <v>5000</v>
      </c>
    </row>
    <row r="84" spans="1:23" s="72" customFormat="1" ht="12.75" customHeight="1" x14ac:dyDescent="0.25">
      <c r="A84" s="101">
        <v>3721</v>
      </c>
      <c r="B84" s="415" t="s">
        <v>798</v>
      </c>
      <c r="C84" s="416"/>
      <c r="D84" s="95">
        <f t="shared" si="36"/>
        <v>12600</v>
      </c>
      <c r="E84" s="96">
        <v>550</v>
      </c>
      <c r="F84" s="96">
        <v>50</v>
      </c>
      <c r="G84" s="96">
        <v>1200</v>
      </c>
      <c r="H84" s="96">
        <v>1200</v>
      </c>
      <c r="I84" s="96">
        <v>1200</v>
      </c>
      <c r="J84" s="96">
        <v>1200</v>
      </c>
      <c r="K84" s="96">
        <v>1200</v>
      </c>
      <c r="L84" s="96">
        <v>1200</v>
      </c>
      <c r="M84" s="96">
        <v>1200</v>
      </c>
      <c r="N84" s="96">
        <v>1200</v>
      </c>
      <c r="O84" s="96">
        <v>1200</v>
      </c>
      <c r="P84" s="96">
        <v>1200</v>
      </c>
      <c r="Q84" s="96">
        <v>1200</v>
      </c>
      <c r="R84" s="96">
        <v>1200</v>
      </c>
      <c r="S84" s="92">
        <f t="shared" si="33"/>
        <v>15000</v>
      </c>
      <c r="T84" s="96">
        <v>1200</v>
      </c>
      <c r="U84" s="96">
        <v>1200</v>
      </c>
      <c r="V84" s="96">
        <v>1200</v>
      </c>
      <c r="W84" s="96">
        <v>1200</v>
      </c>
    </row>
    <row r="85" spans="1:23" s="72" customFormat="1" ht="12.75" customHeight="1" x14ac:dyDescent="0.25">
      <c r="A85" s="101">
        <v>3751</v>
      </c>
      <c r="B85" s="415" t="s">
        <v>799</v>
      </c>
      <c r="C85" s="416"/>
      <c r="D85" s="95">
        <f t="shared" si="36"/>
        <v>97557.84</v>
      </c>
      <c r="E85" s="96">
        <v>5277</v>
      </c>
      <c r="F85" s="96">
        <v>2280.84</v>
      </c>
      <c r="G85" s="96">
        <v>9000</v>
      </c>
      <c r="H85" s="96">
        <v>9000</v>
      </c>
      <c r="I85" s="96">
        <v>9000</v>
      </c>
      <c r="J85" s="96">
        <v>9000</v>
      </c>
      <c r="K85" s="96">
        <v>9000</v>
      </c>
      <c r="L85" s="96">
        <v>9000</v>
      </c>
      <c r="M85" s="96">
        <v>9000</v>
      </c>
      <c r="N85" s="96">
        <v>9000</v>
      </c>
      <c r="O85" s="96">
        <v>9000</v>
      </c>
      <c r="P85" s="96">
        <v>9000</v>
      </c>
      <c r="Q85" s="96">
        <v>9000</v>
      </c>
      <c r="R85" s="96">
        <v>9000</v>
      </c>
      <c r="S85" s="92">
        <f t="shared" si="33"/>
        <v>115557.84</v>
      </c>
      <c r="T85" s="96">
        <v>9000</v>
      </c>
      <c r="U85" s="96">
        <v>9000</v>
      </c>
      <c r="V85" s="96">
        <v>9000</v>
      </c>
      <c r="W85" s="96">
        <v>9000</v>
      </c>
    </row>
    <row r="86" spans="1:23" s="72" customFormat="1" ht="12.75" customHeight="1" x14ac:dyDescent="0.25">
      <c r="A86" s="101">
        <v>3761</v>
      </c>
      <c r="B86" s="415" t="s">
        <v>800</v>
      </c>
      <c r="C86" s="416"/>
      <c r="D86" s="95">
        <f t="shared" si="36"/>
        <v>7000</v>
      </c>
      <c r="E86" s="96">
        <v>0</v>
      </c>
      <c r="F86" s="96">
        <v>0</v>
      </c>
      <c r="G86" s="96">
        <v>0</v>
      </c>
      <c r="H86" s="96">
        <v>0</v>
      </c>
      <c r="I86" s="96">
        <v>7000</v>
      </c>
      <c r="J86" s="96">
        <v>0</v>
      </c>
      <c r="K86" s="96">
        <v>0</v>
      </c>
      <c r="L86" s="96">
        <v>7000</v>
      </c>
      <c r="M86" s="96">
        <v>0</v>
      </c>
      <c r="N86" s="96">
        <v>0</v>
      </c>
      <c r="O86" s="96">
        <v>0</v>
      </c>
      <c r="P86" s="96">
        <v>0</v>
      </c>
      <c r="Q86" s="96">
        <v>0</v>
      </c>
      <c r="R86" s="96">
        <v>0</v>
      </c>
      <c r="S86" s="92">
        <f t="shared" si="33"/>
        <v>14000</v>
      </c>
      <c r="T86" s="96">
        <v>0</v>
      </c>
      <c r="U86" s="96">
        <v>0</v>
      </c>
      <c r="V86" s="96">
        <v>0</v>
      </c>
      <c r="W86" s="96">
        <v>0</v>
      </c>
    </row>
    <row r="87" spans="1:23" s="72" customFormat="1" ht="12.75" customHeight="1" x14ac:dyDescent="0.25">
      <c r="A87" s="101">
        <v>3781</v>
      </c>
      <c r="B87" s="415" t="s">
        <v>801</v>
      </c>
      <c r="C87" s="416"/>
      <c r="D87" s="95">
        <f t="shared" si="36"/>
        <v>7000</v>
      </c>
      <c r="E87" s="96">
        <v>0</v>
      </c>
      <c r="F87" s="96">
        <v>0</v>
      </c>
      <c r="G87" s="96">
        <v>0</v>
      </c>
      <c r="H87" s="96">
        <v>0</v>
      </c>
      <c r="I87" s="96">
        <v>7000</v>
      </c>
      <c r="J87" s="96">
        <v>0</v>
      </c>
      <c r="K87" s="96">
        <v>0</v>
      </c>
      <c r="L87" s="96">
        <v>7000</v>
      </c>
      <c r="M87" s="96">
        <v>0</v>
      </c>
      <c r="N87" s="96">
        <v>0</v>
      </c>
      <c r="O87" s="96">
        <v>0</v>
      </c>
      <c r="P87" s="96">
        <v>0</v>
      </c>
      <c r="Q87" s="96">
        <v>0</v>
      </c>
      <c r="R87" s="96">
        <v>0</v>
      </c>
      <c r="S87" s="92">
        <f t="shared" si="33"/>
        <v>14000</v>
      </c>
      <c r="T87" s="96">
        <v>0</v>
      </c>
      <c r="U87" s="96">
        <v>0</v>
      </c>
      <c r="V87" s="96">
        <v>0</v>
      </c>
      <c r="W87" s="96">
        <v>0</v>
      </c>
    </row>
    <row r="88" spans="1:23" s="72" customFormat="1" ht="12.75" customHeight="1" x14ac:dyDescent="0.25">
      <c r="A88" s="101">
        <v>3791</v>
      </c>
      <c r="B88" s="415" t="s">
        <v>802</v>
      </c>
      <c r="C88" s="416"/>
      <c r="D88" s="95">
        <f t="shared" si="36"/>
        <v>30000</v>
      </c>
      <c r="E88" s="96">
        <v>0</v>
      </c>
      <c r="F88" s="96">
        <v>0</v>
      </c>
      <c r="G88" s="96">
        <v>15000</v>
      </c>
      <c r="H88" s="96">
        <v>0</v>
      </c>
      <c r="I88" s="96">
        <v>15000</v>
      </c>
      <c r="J88" s="96">
        <v>0</v>
      </c>
      <c r="K88" s="96">
        <v>0</v>
      </c>
      <c r="L88" s="96">
        <v>15000</v>
      </c>
      <c r="M88" s="96">
        <v>0</v>
      </c>
      <c r="N88" s="96">
        <v>0</v>
      </c>
      <c r="O88" s="96">
        <v>0</v>
      </c>
      <c r="P88" s="96">
        <v>0</v>
      </c>
      <c r="Q88" s="96">
        <v>0</v>
      </c>
      <c r="R88" s="96">
        <v>0</v>
      </c>
      <c r="S88" s="92">
        <f t="shared" si="33"/>
        <v>45000</v>
      </c>
      <c r="T88" s="96">
        <v>0</v>
      </c>
      <c r="U88" s="96">
        <v>0</v>
      </c>
      <c r="V88" s="96">
        <v>0</v>
      </c>
      <c r="W88" s="96">
        <v>0</v>
      </c>
    </row>
    <row r="89" spans="1:23" s="72" customFormat="1" ht="12.75" customHeight="1" x14ac:dyDescent="0.25">
      <c r="A89" s="101"/>
      <c r="B89" s="102"/>
      <c r="C89" s="103"/>
      <c r="D89" s="100">
        <f>SUM(D90:D94)</f>
        <v>162045.56</v>
      </c>
      <c r="E89" s="100">
        <f t="shared" ref="E89:W89" si="37">SUM(E90:E94)</f>
        <v>0</v>
      </c>
      <c r="F89" s="100">
        <f t="shared" si="37"/>
        <v>0</v>
      </c>
      <c r="G89" s="100">
        <f t="shared" si="37"/>
        <v>3545.56</v>
      </c>
      <c r="H89" s="100">
        <f t="shared" si="37"/>
        <v>4500</v>
      </c>
      <c r="I89" s="100">
        <f t="shared" si="37"/>
        <v>4500</v>
      </c>
      <c r="J89" s="100">
        <f t="shared" si="37"/>
        <v>48500</v>
      </c>
      <c r="K89" s="100">
        <f t="shared" si="37"/>
        <v>4500</v>
      </c>
      <c r="L89" s="100">
        <f t="shared" ref="L89:R89" si="38">SUM(L90:L94)</f>
        <v>6100</v>
      </c>
      <c r="M89" s="100">
        <f t="shared" si="38"/>
        <v>6500</v>
      </c>
      <c r="N89" s="100">
        <f t="shared" si="38"/>
        <v>23500</v>
      </c>
      <c r="O89" s="100">
        <f t="shared" si="38"/>
        <v>6500</v>
      </c>
      <c r="P89" s="100">
        <f t="shared" si="38"/>
        <v>23500</v>
      </c>
      <c r="Q89" s="100">
        <f t="shared" si="38"/>
        <v>6500</v>
      </c>
      <c r="R89" s="100">
        <f t="shared" si="38"/>
        <v>53500</v>
      </c>
      <c r="S89" s="92">
        <f t="shared" si="33"/>
        <v>191645.56</v>
      </c>
      <c r="T89" s="100">
        <f t="shared" si="37"/>
        <v>6500</v>
      </c>
      <c r="U89" s="100">
        <f t="shared" si="37"/>
        <v>23500</v>
      </c>
      <c r="V89" s="100">
        <f t="shared" si="37"/>
        <v>6500</v>
      </c>
      <c r="W89" s="100">
        <f t="shared" si="37"/>
        <v>53500</v>
      </c>
    </row>
    <row r="90" spans="1:23" s="72" customFormat="1" ht="12.75" customHeight="1" x14ac:dyDescent="0.25">
      <c r="A90" s="101">
        <v>3811</v>
      </c>
      <c r="B90" s="415" t="s">
        <v>803</v>
      </c>
      <c r="C90" s="416"/>
      <c r="D90" s="95">
        <f>+E90+F90+G90+H90+I90+J90+K90+M90+T90+U90+V90+W90</f>
        <v>83000</v>
      </c>
      <c r="E90" s="96">
        <v>0</v>
      </c>
      <c r="F90" s="96">
        <v>0</v>
      </c>
      <c r="G90" s="96">
        <v>1000</v>
      </c>
      <c r="H90" s="96">
        <v>1000</v>
      </c>
      <c r="I90" s="96">
        <v>1000</v>
      </c>
      <c r="J90" s="96">
        <v>45000</v>
      </c>
      <c r="K90" s="96">
        <v>1000</v>
      </c>
      <c r="L90" s="96">
        <v>1000</v>
      </c>
      <c r="M90" s="96">
        <v>1000</v>
      </c>
      <c r="N90" s="96">
        <v>1000</v>
      </c>
      <c r="O90" s="96">
        <v>1000</v>
      </c>
      <c r="P90" s="96">
        <v>1000</v>
      </c>
      <c r="Q90" s="96">
        <v>1000</v>
      </c>
      <c r="R90" s="96">
        <v>30000</v>
      </c>
      <c r="S90" s="92">
        <f t="shared" si="33"/>
        <v>85000</v>
      </c>
      <c r="T90" s="96">
        <v>1000</v>
      </c>
      <c r="U90" s="96">
        <v>1000</v>
      </c>
      <c r="V90" s="96">
        <v>1000</v>
      </c>
      <c r="W90" s="96">
        <v>30000</v>
      </c>
    </row>
    <row r="91" spans="1:23" s="72" customFormat="1" ht="12.75" customHeight="1" x14ac:dyDescent="0.25">
      <c r="A91" s="101">
        <v>3821</v>
      </c>
      <c r="B91" s="415" t="s">
        <v>804</v>
      </c>
      <c r="C91" s="416"/>
      <c r="D91" s="95">
        <f>+E91+F91+G91+H91+I91+J91+K91+M91+T91+U91+V91+W91</f>
        <v>38000</v>
      </c>
      <c r="E91" s="96">
        <v>0</v>
      </c>
      <c r="F91" s="96">
        <v>0</v>
      </c>
      <c r="G91" s="96">
        <v>2000</v>
      </c>
      <c r="H91" s="96">
        <v>2000</v>
      </c>
      <c r="I91" s="96">
        <v>2000</v>
      </c>
      <c r="J91" s="96">
        <v>2000</v>
      </c>
      <c r="K91" s="96">
        <v>2000</v>
      </c>
      <c r="L91" s="96">
        <v>2000</v>
      </c>
      <c r="M91" s="96">
        <v>2000</v>
      </c>
      <c r="N91" s="96">
        <v>2000</v>
      </c>
      <c r="O91" s="96">
        <v>2000</v>
      </c>
      <c r="P91" s="96">
        <v>2000</v>
      </c>
      <c r="Q91" s="96">
        <v>2000</v>
      </c>
      <c r="R91" s="96">
        <v>20000</v>
      </c>
      <c r="S91" s="92">
        <f t="shared" si="33"/>
        <v>42000</v>
      </c>
      <c r="T91" s="96">
        <v>2000</v>
      </c>
      <c r="U91" s="96">
        <v>2000</v>
      </c>
      <c r="V91" s="96">
        <v>2000</v>
      </c>
      <c r="W91" s="96">
        <v>20000</v>
      </c>
    </row>
    <row r="92" spans="1:23" s="72" customFormat="1" ht="12.75" customHeight="1" x14ac:dyDescent="0.25">
      <c r="A92" s="101">
        <v>3831</v>
      </c>
      <c r="B92" s="415" t="s">
        <v>805</v>
      </c>
      <c r="C92" s="416"/>
      <c r="D92" s="95">
        <f>+E92+F92+G92+H92+I92+J92+K92+M92+T92+U92+V92+W92</f>
        <v>10000</v>
      </c>
      <c r="E92" s="96">
        <v>0</v>
      </c>
      <c r="F92" s="96">
        <v>0</v>
      </c>
      <c r="G92" s="96">
        <v>0</v>
      </c>
      <c r="H92" s="96">
        <v>0</v>
      </c>
      <c r="I92" s="96">
        <v>0</v>
      </c>
      <c r="J92" s="96">
        <v>0</v>
      </c>
      <c r="K92" s="96">
        <v>0</v>
      </c>
      <c r="L92" s="96">
        <v>1600</v>
      </c>
      <c r="M92" s="96">
        <v>2000</v>
      </c>
      <c r="N92" s="96">
        <v>2000</v>
      </c>
      <c r="O92" s="96">
        <v>2000</v>
      </c>
      <c r="P92" s="96">
        <v>2000</v>
      </c>
      <c r="Q92" s="96">
        <v>2000</v>
      </c>
      <c r="R92" s="96">
        <v>2000</v>
      </c>
      <c r="S92" s="92">
        <f t="shared" si="33"/>
        <v>13600</v>
      </c>
      <c r="T92" s="96">
        <v>2000</v>
      </c>
      <c r="U92" s="96">
        <v>2000</v>
      </c>
      <c r="V92" s="96">
        <v>2000</v>
      </c>
      <c r="W92" s="96">
        <v>2000</v>
      </c>
    </row>
    <row r="93" spans="1:23" s="72" customFormat="1" ht="12.75" customHeight="1" x14ac:dyDescent="0.25">
      <c r="A93" s="101">
        <v>3841</v>
      </c>
      <c r="B93" s="415" t="s">
        <v>806</v>
      </c>
      <c r="C93" s="416"/>
      <c r="D93" s="95">
        <f>+E93+F93+G93+H93+I93+J93+K93+M93+T93+U93+V93+W93</f>
        <v>17000</v>
      </c>
      <c r="E93" s="96">
        <v>0</v>
      </c>
      <c r="F93" s="96">
        <v>0</v>
      </c>
      <c r="G93" s="96">
        <v>0</v>
      </c>
      <c r="H93" s="96">
        <v>0</v>
      </c>
      <c r="I93" s="96">
        <v>0</v>
      </c>
      <c r="J93" s="96">
        <v>0</v>
      </c>
      <c r="K93" s="96">
        <v>0</v>
      </c>
      <c r="L93" s="96">
        <v>0</v>
      </c>
      <c r="M93" s="96">
        <v>0</v>
      </c>
      <c r="N93" s="96">
        <v>17000</v>
      </c>
      <c r="O93" s="96">
        <v>0</v>
      </c>
      <c r="P93" s="96">
        <v>17000</v>
      </c>
      <c r="Q93" s="96">
        <v>0</v>
      </c>
      <c r="R93" s="96">
        <v>0</v>
      </c>
      <c r="S93" s="92">
        <f t="shared" si="33"/>
        <v>34000</v>
      </c>
      <c r="T93" s="96">
        <v>0</v>
      </c>
      <c r="U93" s="96">
        <v>17000</v>
      </c>
      <c r="V93" s="96">
        <v>0</v>
      </c>
      <c r="W93" s="96">
        <v>0</v>
      </c>
    </row>
    <row r="94" spans="1:23" s="72" customFormat="1" ht="12.75" customHeight="1" x14ac:dyDescent="0.25">
      <c r="A94" s="101">
        <v>3851</v>
      </c>
      <c r="B94" s="415" t="s">
        <v>807</v>
      </c>
      <c r="C94" s="416"/>
      <c r="D94" s="95">
        <f>+E94+F94+G94+H94+I94+J94+K94+M94+T94+U94+V94+W94</f>
        <v>14045.56</v>
      </c>
      <c r="E94" s="96">
        <v>0</v>
      </c>
      <c r="F94" s="96">
        <v>0</v>
      </c>
      <c r="G94" s="96">
        <v>545.55999999999995</v>
      </c>
      <c r="H94" s="96">
        <v>1500</v>
      </c>
      <c r="I94" s="96">
        <v>1500</v>
      </c>
      <c r="J94" s="96">
        <v>1500</v>
      </c>
      <c r="K94" s="96">
        <v>1500</v>
      </c>
      <c r="L94" s="96">
        <v>1500</v>
      </c>
      <c r="M94" s="96">
        <v>1500</v>
      </c>
      <c r="N94" s="96">
        <v>1500</v>
      </c>
      <c r="O94" s="96">
        <v>1500</v>
      </c>
      <c r="P94" s="96">
        <v>1500</v>
      </c>
      <c r="Q94" s="96">
        <v>1500</v>
      </c>
      <c r="R94" s="96">
        <v>1500</v>
      </c>
      <c r="S94" s="92">
        <f t="shared" si="33"/>
        <v>17045.559999999998</v>
      </c>
      <c r="T94" s="96">
        <v>1500</v>
      </c>
      <c r="U94" s="96">
        <v>1500</v>
      </c>
      <c r="V94" s="96">
        <v>1500</v>
      </c>
      <c r="W94" s="96">
        <v>1500</v>
      </c>
    </row>
    <row r="95" spans="1:23" s="72" customFormat="1" ht="12.75" customHeight="1" x14ac:dyDescent="0.25">
      <c r="A95" s="101"/>
      <c r="B95" s="102"/>
      <c r="C95" s="103"/>
      <c r="D95" s="100">
        <f>SUM(D96:D97)</f>
        <v>229900.98</v>
      </c>
      <c r="E95" s="100">
        <f t="shared" ref="E95:W95" si="39">SUM(E96:E97)</f>
        <v>2556.98</v>
      </c>
      <c r="F95" s="100">
        <f t="shared" si="39"/>
        <v>17344</v>
      </c>
      <c r="G95" s="100">
        <f t="shared" si="39"/>
        <v>21000</v>
      </c>
      <c r="H95" s="100">
        <f t="shared" si="39"/>
        <v>21000</v>
      </c>
      <c r="I95" s="100">
        <f t="shared" si="39"/>
        <v>21000</v>
      </c>
      <c r="J95" s="100">
        <f t="shared" si="39"/>
        <v>21000</v>
      </c>
      <c r="K95" s="100">
        <f t="shared" si="39"/>
        <v>21000</v>
      </c>
      <c r="L95" s="100">
        <f t="shared" ref="L95:R95" si="40">SUM(L96:L97)</f>
        <v>21000</v>
      </c>
      <c r="M95" s="100">
        <f t="shared" si="40"/>
        <v>21000</v>
      </c>
      <c r="N95" s="100">
        <f t="shared" si="40"/>
        <v>21000</v>
      </c>
      <c r="O95" s="100">
        <f t="shared" si="40"/>
        <v>21000</v>
      </c>
      <c r="P95" s="100">
        <f t="shared" si="40"/>
        <v>21000</v>
      </c>
      <c r="Q95" s="100">
        <f t="shared" si="40"/>
        <v>21000</v>
      </c>
      <c r="R95" s="100">
        <f t="shared" si="40"/>
        <v>21000</v>
      </c>
      <c r="S95" s="92">
        <f t="shared" si="33"/>
        <v>271900.98</v>
      </c>
      <c r="T95" s="100">
        <f t="shared" si="39"/>
        <v>21000</v>
      </c>
      <c r="U95" s="100">
        <f t="shared" si="39"/>
        <v>21000</v>
      </c>
      <c r="V95" s="100">
        <f t="shared" si="39"/>
        <v>21000</v>
      </c>
      <c r="W95" s="100">
        <f t="shared" si="39"/>
        <v>21000</v>
      </c>
    </row>
    <row r="96" spans="1:23" s="72" customFormat="1" ht="16.5" customHeight="1" x14ac:dyDescent="0.25">
      <c r="A96" s="101">
        <v>3981</v>
      </c>
      <c r="B96" s="415" t="s">
        <v>808</v>
      </c>
      <c r="C96" s="416"/>
      <c r="D96" s="95">
        <f>+E96+F96+G96+H96+I96+J96+K96+M96+T96+U96+V96+W96</f>
        <v>218125</v>
      </c>
      <c r="E96" s="96">
        <v>1606</v>
      </c>
      <c r="F96" s="96">
        <v>16519</v>
      </c>
      <c r="G96" s="96">
        <v>20000</v>
      </c>
      <c r="H96" s="96">
        <v>20000</v>
      </c>
      <c r="I96" s="96">
        <v>20000</v>
      </c>
      <c r="J96" s="96">
        <v>20000</v>
      </c>
      <c r="K96" s="96">
        <v>20000</v>
      </c>
      <c r="L96" s="96">
        <v>20000</v>
      </c>
      <c r="M96" s="96">
        <v>20000</v>
      </c>
      <c r="N96" s="96">
        <v>20000</v>
      </c>
      <c r="O96" s="96">
        <v>20000</v>
      </c>
      <c r="P96" s="96">
        <v>20000</v>
      </c>
      <c r="Q96" s="96">
        <v>20000</v>
      </c>
      <c r="R96" s="96">
        <v>20000</v>
      </c>
      <c r="S96" s="92">
        <f t="shared" si="33"/>
        <v>258125</v>
      </c>
      <c r="T96" s="96">
        <v>20000</v>
      </c>
      <c r="U96" s="96">
        <v>20000</v>
      </c>
      <c r="V96" s="96">
        <v>20000</v>
      </c>
      <c r="W96" s="96">
        <v>20000</v>
      </c>
    </row>
    <row r="97" spans="1:23" s="72" customFormat="1" ht="12.75" customHeight="1" x14ac:dyDescent="0.25">
      <c r="A97" s="101">
        <v>3991</v>
      </c>
      <c r="B97" s="415" t="s">
        <v>809</v>
      </c>
      <c r="C97" s="416"/>
      <c r="D97" s="95">
        <f>+E97+F97+G97+H97+I97+J97+K97+M97+T97+U97+V97+W97</f>
        <v>11775.98</v>
      </c>
      <c r="E97" s="96">
        <v>950.98</v>
      </c>
      <c r="F97" s="96">
        <v>825</v>
      </c>
      <c r="G97" s="96">
        <v>1000</v>
      </c>
      <c r="H97" s="96">
        <v>1000</v>
      </c>
      <c r="I97" s="96">
        <v>1000</v>
      </c>
      <c r="J97" s="96">
        <v>1000</v>
      </c>
      <c r="K97" s="96">
        <v>1000</v>
      </c>
      <c r="L97" s="96">
        <v>1000</v>
      </c>
      <c r="M97" s="96">
        <v>1000</v>
      </c>
      <c r="N97" s="96">
        <v>1000</v>
      </c>
      <c r="O97" s="96">
        <v>1000</v>
      </c>
      <c r="P97" s="96">
        <v>1000</v>
      </c>
      <c r="Q97" s="96">
        <v>1000</v>
      </c>
      <c r="R97" s="96">
        <v>1000</v>
      </c>
      <c r="S97" s="92">
        <f t="shared" si="33"/>
        <v>13775.98</v>
      </c>
      <c r="T97" s="96">
        <v>1000</v>
      </c>
      <c r="U97" s="96">
        <v>1000</v>
      </c>
      <c r="V97" s="96">
        <v>1000</v>
      </c>
      <c r="W97" s="96">
        <v>1000</v>
      </c>
    </row>
    <row r="98" spans="1:23" s="72" customFormat="1" ht="12.75" customHeight="1" x14ac:dyDescent="0.25">
      <c r="A98" s="101"/>
      <c r="B98" s="102"/>
      <c r="C98" s="103"/>
      <c r="D98" s="100">
        <f>+D99+D103</f>
        <v>75000</v>
      </c>
      <c r="E98" s="100">
        <f t="shared" ref="E98:W98" si="41">+E99+E103</f>
        <v>0</v>
      </c>
      <c r="F98" s="100">
        <f t="shared" si="41"/>
        <v>0</v>
      </c>
      <c r="G98" s="100">
        <f t="shared" si="41"/>
        <v>25000</v>
      </c>
      <c r="H98" s="100">
        <f t="shared" si="41"/>
        <v>25000</v>
      </c>
      <c r="I98" s="100">
        <f t="shared" si="41"/>
        <v>10000</v>
      </c>
      <c r="J98" s="100">
        <f t="shared" si="41"/>
        <v>5000</v>
      </c>
      <c r="K98" s="100">
        <f t="shared" si="41"/>
        <v>0</v>
      </c>
      <c r="L98" s="100">
        <f t="shared" ref="L98:R98" si="42">+L99+L103</f>
        <v>5000</v>
      </c>
      <c r="M98" s="100">
        <f t="shared" si="42"/>
        <v>0</v>
      </c>
      <c r="N98" s="100">
        <f t="shared" si="42"/>
        <v>5000</v>
      </c>
      <c r="O98" s="100">
        <f t="shared" si="42"/>
        <v>0</v>
      </c>
      <c r="P98" s="100">
        <f t="shared" si="42"/>
        <v>5000</v>
      </c>
      <c r="Q98" s="100">
        <f t="shared" si="42"/>
        <v>0</v>
      </c>
      <c r="R98" s="100">
        <f t="shared" si="42"/>
        <v>5000</v>
      </c>
      <c r="S98" s="92">
        <f t="shared" si="33"/>
        <v>85000</v>
      </c>
      <c r="T98" s="100">
        <f t="shared" si="41"/>
        <v>0</v>
      </c>
      <c r="U98" s="100">
        <f t="shared" si="41"/>
        <v>5000</v>
      </c>
      <c r="V98" s="100">
        <f t="shared" si="41"/>
        <v>0</v>
      </c>
      <c r="W98" s="100">
        <f t="shared" si="41"/>
        <v>5000</v>
      </c>
    </row>
    <row r="99" spans="1:23" s="72" customFormat="1" ht="12.75" customHeight="1" x14ac:dyDescent="0.25">
      <c r="A99" s="101"/>
      <c r="B99" s="102"/>
      <c r="C99" s="103"/>
      <c r="D99" s="100">
        <f>SUM(D100:D101)</f>
        <v>55000</v>
      </c>
      <c r="E99" s="100">
        <f t="shared" ref="E99:W99" si="43">SUM(E100:E101)</f>
        <v>0</v>
      </c>
      <c r="F99" s="100">
        <f t="shared" si="43"/>
        <v>0</v>
      </c>
      <c r="G99" s="100">
        <f t="shared" si="43"/>
        <v>25000</v>
      </c>
      <c r="H99" s="100">
        <f t="shared" si="43"/>
        <v>5000</v>
      </c>
      <c r="I99" s="100">
        <f t="shared" si="43"/>
        <v>10000</v>
      </c>
      <c r="J99" s="100">
        <f t="shared" si="43"/>
        <v>5000</v>
      </c>
      <c r="K99" s="100">
        <f t="shared" si="43"/>
        <v>0</v>
      </c>
      <c r="L99" s="100">
        <f t="shared" ref="L99:R99" si="44">SUM(L100:L101)</f>
        <v>5000</v>
      </c>
      <c r="M99" s="100">
        <f t="shared" si="44"/>
        <v>0</v>
      </c>
      <c r="N99" s="100">
        <f t="shared" si="44"/>
        <v>5000</v>
      </c>
      <c r="O99" s="100">
        <f t="shared" si="44"/>
        <v>0</v>
      </c>
      <c r="P99" s="100">
        <f t="shared" si="44"/>
        <v>5000</v>
      </c>
      <c r="Q99" s="100">
        <f t="shared" si="44"/>
        <v>0</v>
      </c>
      <c r="R99" s="100">
        <f t="shared" si="44"/>
        <v>5000</v>
      </c>
      <c r="S99" s="92">
        <f t="shared" si="33"/>
        <v>65000</v>
      </c>
      <c r="T99" s="100">
        <f t="shared" si="43"/>
        <v>0</v>
      </c>
      <c r="U99" s="100">
        <f t="shared" si="43"/>
        <v>5000</v>
      </c>
      <c r="V99" s="100">
        <f t="shared" si="43"/>
        <v>0</v>
      </c>
      <c r="W99" s="100">
        <f t="shared" si="43"/>
        <v>5000</v>
      </c>
    </row>
    <row r="100" spans="1:23" s="72" customFormat="1" ht="12.75" customHeight="1" x14ac:dyDescent="0.25">
      <c r="A100" s="101">
        <v>5111</v>
      </c>
      <c r="B100" s="415" t="s">
        <v>810</v>
      </c>
      <c r="C100" s="416"/>
      <c r="D100" s="95">
        <f>+E100+F100+G100+H100+I100+J100+K100+M100+T100+U100+V100+W100</f>
        <v>20000</v>
      </c>
      <c r="E100" s="96">
        <v>0</v>
      </c>
      <c r="F100" s="96">
        <v>0</v>
      </c>
      <c r="G100" s="96">
        <v>0</v>
      </c>
      <c r="H100" s="96">
        <v>5000</v>
      </c>
      <c r="I100" s="96">
        <v>0</v>
      </c>
      <c r="J100" s="96">
        <v>5000</v>
      </c>
      <c r="K100" s="96">
        <v>0</v>
      </c>
      <c r="L100" s="96">
        <v>5000</v>
      </c>
      <c r="M100" s="96">
        <v>0</v>
      </c>
      <c r="N100" s="96">
        <v>5000</v>
      </c>
      <c r="O100" s="96">
        <v>0</v>
      </c>
      <c r="P100" s="96">
        <v>5000</v>
      </c>
      <c r="Q100" s="96">
        <v>0</v>
      </c>
      <c r="R100" s="96">
        <v>5000</v>
      </c>
      <c r="S100" s="92">
        <f t="shared" si="33"/>
        <v>30000</v>
      </c>
      <c r="T100" s="96">
        <v>0</v>
      </c>
      <c r="U100" s="96">
        <v>5000</v>
      </c>
      <c r="V100" s="96">
        <v>0</v>
      </c>
      <c r="W100" s="96">
        <v>5000</v>
      </c>
    </row>
    <row r="101" spans="1:23" s="72" customFormat="1" ht="12.75" customHeight="1" x14ac:dyDescent="0.25">
      <c r="A101" s="101">
        <v>5151</v>
      </c>
      <c r="B101" s="415" t="s">
        <v>811</v>
      </c>
      <c r="C101" s="416"/>
      <c r="D101" s="95">
        <f>+E101+F101+G101+H101+I101+J101+K101+M101+T101+U101+V101+W101</f>
        <v>35000</v>
      </c>
      <c r="E101" s="96">
        <v>0</v>
      </c>
      <c r="F101" s="96">
        <v>0</v>
      </c>
      <c r="G101" s="96">
        <v>25000</v>
      </c>
      <c r="H101" s="96">
        <v>0</v>
      </c>
      <c r="I101" s="96">
        <v>10000</v>
      </c>
      <c r="J101" s="96">
        <v>0</v>
      </c>
      <c r="K101" s="96">
        <v>0</v>
      </c>
      <c r="L101" s="96">
        <v>0</v>
      </c>
      <c r="M101" s="96">
        <v>0</v>
      </c>
      <c r="N101" s="96">
        <v>0</v>
      </c>
      <c r="O101" s="96">
        <v>0</v>
      </c>
      <c r="P101" s="96">
        <v>0</v>
      </c>
      <c r="Q101" s="96">
        <v>0</v>
      </c>
      <c r="R101" s="96">
        <v>0</v>
      </c>
      <c r="S101" s="92">
        <f t="shared" si="33"/>
        <v>35000</v>
      </c>
      <c r="T101" s="96">
        <v>0</v>
      </c>
      <c r="U101" s="96">
        <v>0</v>
      </c>
      <c r="V101" s="96">
        <v>0</v>
      </c>
      <c r="W101" s="96">
        <v>0</v>
      </c>
    </row>
    <row r="102" spans="1:23" s="72" customFormat="1" ht="12.75" customHeight="1" x14ac:dyDescent="0.25">
      <c r="A102" s="101"/>
      <c r="B102" s="102"/>
      <c r="C102" s="103"/>
      <c r="D102" s="95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2">
        <f t="shared" si="33"/>
        <v>0</v>
      </c>
      <c r="T102" s="96"/>
      <c r="U102" s="96"/>
      <c r="V102" s="96"/>
      <c r="W102" s="96"/>
    </row>
    <row r="103" spans="1:23" s="72" customFormat="1" ht="12.75" customHeight="1" x14ac:dyDescent="0.25">
      <c r="A103" s="104">
        <v>5911</v>
      </c>
      <c r="B103" s="422" t="s">
        <v>812</v>
      </c>
      <c r="C103" s="423"/>
      <c r="D103" s="95">
        <f>+E103+F103+G103+H103+I103+J103+K103+M103+T103+U103+V103+W103</f>
        <v>20000</v>
      </c>
      <c r="E103" s="96">
        <v>0</v>
      </c>
      <c r="F103" s="96">
        <v>0</v>
      </c>
      <c r="G103" s="96">
        <v>0</v>
      </c>
      <c r="H103" s="96">
        <v>20000</v>
      </c>
      <c r="I103" s="96">
        <v>0</v>
      </c>
      <c r="J103" s="96">
        <v>0</v>
      </c>
      <c r="K103" s="96">
        <v>0</v>
      </c>
      <c r="L103" s="96">
        <v>0</v>
      </c>
      <c r="M103" s="96">
        <v>0</v>
      </c>
      <c r="N103" s="96">
        <v>0</v>
      </c>
      <c r="O103" s="96">
        <v>0</v>
      </c>
      <c r="P103" s="96">
        <v>0</v>
      </c>
      <c r="Q103" s="96">
        <v>0</v>
      </c>
      <c r="R103" s="96">
        <v>0</v>
      </c>
      <c r="S103" s="92">
        <f t="shared" si="33"/>
        <v>20000</v>
      </c>
      <c r="T103" s="96">
        <v>0</v>
      </c>
      <c r="U103" s="96">
        <v>0</v>
      </c>
      <c r="V103" s="96">
        <v>0</v>
      </c>
      <c r="W103" s="96">
        <v>0</v>
      </c>
    </row>
    <row r="104" spans="1:23" s="72" customFormat="1" ht="6.75" customHeight="1" x14ac:dyDescent="0.25">
      <c r="A104" s="85"/>
      <c r="B104" s="85"/>
      <c r="C104" s="85"/>
      <c r="D104" s="105"/>
      <c r="S104" s="92">
        <f t="shared" si="33"/>
        <v>0</v>
      </c>
    </row>
    <row r="105" spans="1:23" s="72" customFormat="1" ht="14.25" customHeight="1" x14ac:dyDescent="0.25">
      <c r="A105" s="419" t="s">
        <v>687</v>
      </c>
      <c r="B105" s="420"/>
      <c r="C105" s="421"/>
      <c r="D105" s="106">
        <f>D14+D24+D51+D98</f>
        <v>15916021.459999997</v>
      </c>
      <c r="E105" s="106">
        <f t="shared" ref="E105:W105" si="45">E14+E24+E51+E98</f>
        <v>1144608.73</v>
      </c>
      <c r="F105" s="106">
        <f t="shared" si="45"/>
        <v>1100964.67</v>
      </c>
      <c r="G105" s="106">
        <f t="shared" si="45"/>
        <v>1396368.5699999998</v>
      </c>
      <c r="H105" s="106">
        <f t="shared" si="45"/>
        <v>1191923.01</v>
      </c>
      <c r="I105" s="106">
        <f t="shared" si="45"/>
        <v>1493835.0899999999</v>
      </c>
      <c r="J105" s="106">
        <f t="shared" si="45"/>
        <v>1283923.01</v>
      </c>
      <c r="K105" s="106">
        <f t="shared" si="45"/>
        <v>1208923.01</v>
      </c>
      <c r="L105" s="106">
        <f t="shared" si="45"/>
        <v>1247523.01</v>
      </c>
      <c r="M105" s="106">
        <f t="shared" si="45"/>
        <v>1206923.01</v>
      </c>
      <c r="N105" s="106">
        <f t="shared" si="45"/>
        <v>1202923.01</v>
      </c>
      <c r="O105" s="106">
        <f t="shared" si="45"/>
        <v>1206923.01</v>
      </c>
      <c r="P105" s="106">
        <f t="shared" si="45"/>
        <v>1202923.01</v>
      </c>
      <c r="Q105" s="106">
        <f t="shared" si="45"/>
        <v>1449335.0899999999</v>
      </c>
      <c r="R105" s="106">
        <f t="shared" si="45"/>
        <v>2029371.2499999998</v>
      </c>
      <c r="S105" s="106">
        <f t="shared" si="45"/>
        <v>18366467.48</v>
      </c>
      <c r="T105" s="106">
        <f t="shared" si="45"/>
        <v>1206923.01</v>
      </c>
      <c r="U105" s="106">
        <f t="shared" si="45"/>
        <v>1202923.01</v>
      </c>
      <c r="V105" s="106">
        <f t="shared" si="45"/>
        <v>1449335.0899999999</v>
      </c>
      <c r="W105" s="106">
        <f t="shared" si="45"/>
        <v>2029371.2499999998</v>
      </c>
    </row>
    <row r="106" spans="1:23" s="72" customFormat="1" ht="14.25" customHeight="1" x14ac:dyDescent="0.25">
      <c r="A106" s="107"/>
      <c r="B106" s="107"/>
      <c r="C106" s="107"/>
      <c r="D106" s="108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</row>
    <row r="107" spans="1:23" s="72" customFormat="1" ht="16.5" customHeight="1" x14ac:dyDescent="0.25">
      <c r="A107" s="107"/>
      <c r="B107" s="107"/>
      <c r="C107" s="107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</row>
    <row r="108" spans="1:23" s="72" customFormat="1" ht="12.75" customHeight="1" x14ac:dyDescent="0.25">
      <c r="A108" s="107"/>
      <c r="B108" s="107"/>
      <c r="C108" s="107"/>
      <c r="D108" s="110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</row>
    <row r="109" spans="1:23" s="72" customFormat="1" ht="12.75" customHeight="1" x14ac:dyDescent="0.25">
      <c r="A109" s="107"/>
      <c r="B109" s="107"/>
      <c r="C109" s="107"/>
      <c r="D109" s="110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</row>
    <row r="110" spans="1:23" s="72" customFormat="1" ht="12.75" customHeight="1" x14ac:dyDescent="0.25">
      <c r="A110" s="107"/>
      <c r="B110" s="107"/>
      <c r="C110" s="107"/>
      <c r="D110" s="110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</row>
    <row r="111" spans="1:23" s="72" customFormat="1" ht="12.75" customHeight="1" x14ac:dyDescent="0.25">
      <c r="A111" s="107"/>
      <c r="B111" s="107"/>
      <c r="C111" s="107"/>
      <c r="D111" s="110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</row>
    <row r="112" spans="1:23" s="72" customFormat="1" ht="6" customHeight="1" x14ac:dyDescent="0.25">
      <c r="A112" s="85"/>
      <c r="B112" s="85"/>
      <c r="C112" s="85"/>
      <c r="D112" s="85"/>
    </row>
    <row r="113" spans="1:4" s="72" customFormat="1" x14ac:dyDescent="0.25">
      <c r="A113" s="85"/>
      <c r="B113" s="85"/>
      <c r="C113" s="85"/>
      <c r="D113" s="85"/>
    </row>
    <row r="114" spans="1:4" s="72" customFormat="1" x14ac:dyDescent="0.25">
      <c r="A114" s="85"/>
      <c r="B114" s="85"/>
      <c r="C114" s="85"/>
      <c r="D114" s="85"/>
    </row>
    <row r="115" spans="1:4" s="72" customFormat="1" x14ac:dyDescent="0.25">
      <c r="A115" s="85"/>
      <c r="B115" s="85"/>
      <c r="C115" s="85"/>
      <c r="D115" s="85"/>
    </row>
    <row r="116" spans="1:4" s="72" customFormat="1" x14ac:dyDescent="0.25"/>
    <row r="117" spans="1:4" s="72" customFormat="1" x14ac:dyDescent="0.25"/>
    <row r="118" spans="1:4" s="72" customFormat="1" x14ac:dyDescent="0.25"/>
    <row r="119" spans="1:4" s="72" customFormat="1" x14ac:dyDescent="0.25"/>
    <row r="120" spans="1:4" s="72" customFormat="1" x14ac:dyDescent="0.25"/>
    <row r="121" spans="1:4" s="72" customFormat="1" x14ac:dyDescent="0.25"/>
    <row r="122" spans="1:4" s="72" customFormat="1" x14ac:dyDescent="0.25"/>
    <row r="123" spans="1:4" s="72" customFormat="1" x14ac:dyDescent="0.25"/>
  </sheetData>
  <mergeCells count="72"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abSelected="1" zoomScaleNormal="100" workbookViewId="0">
      <selection activeCell="B1" sqref="B1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1:11" ht="15.75" thickBot="1" x14ac:dyDescent="0.3">
      <c r="B1" t="s">
        <v>1302</v>
      </c>
    </row>
    <row r="2" spans="1:11" ht="15" customHeight="1" x14ac:dyDescent="0.25">
      <c r="B2" s="447" t="s">
        <v>697</v>
      </c>
      <c r="C2" s="448"/>
      <c r="D2" s="448"/>
      <c r="E2" s="448"/>
      <c r="F2" s="448"/>
      <c r="G2" s="448"/>
      <c r="H2" s="448"/>
      <c r="I2" s="449"/>
    </row>
    <row r="3" spans="1:11" ht="15" customHeight="1" x14ac:dyDescent="0.25">
      <c r="B3" s="450" t="s">
        <v>848</v>
      </c>
      <c r="C3" s="451"/>
      <c r="D3" s="451"/>
      <c r="E3" s="451"/>
      <c r="F3" s="451"/>
      <c r="G3" s="451"/>
      <c r="H3" s="451"/>
      <c r="I3" s="452"/>
    </row>
    <row r="4" spans="1:11" ht="15.75" customHeight="1" thickBot="1" x14ac:dyDescent="0.3">
      <c r="B4" s="453" t="s">
        <v>1307</v>
      </c>
      <c r="C4" s="454"/>
      <c r="D4" s="454"/>
      <c r="E4" s="454"/>
      <c r="F4" s="454"/>
      <c r="G4" s="454"/>
      <c r="H4" s="454"/>
      <c r="I4" s="455"/>
    </row>
    <row r="5" spans="1:11" ht="24.75" customHeight="1" thickBot="1" x14ac:dyDescent="0.3">
      <c r="B5" s="458" t="s">
        <v>849</v>
      </c>
      <c r="C5" s="459"/>
      <c r="D5" s="456" t="s">
        <v>1290</v>
      </c>
      <c r="E5" s="428" t="s">
        <v>1291</v>
      </c>
      <c r="F5" s="426" t="s">
        <v>849</v>
      </c>
      <c r="G5" s="460"/>
      <c r="H5" s="457" t="s">
        <v>1290</v>
      </c>
      <c r="I5" s="456" t="s">
        <v>1291</v>
      </c>
      <c r="J5" s="117"/>
      <c r="K5" s="118"/>
    </row>
    <row r="6" spans="1:11" ht="15.75" hidden="1" customHeight="1" thickBot="1" x14ac:dyDescent="0.3">
      <c r="B6" s="458"/>
      <c r="C6" s="459"/>
      <c r="D6" s="456"/>
      <c r="E6" s="428" t="s">
        <v>850</v>
      </c>
      <c r="F6" s="461"/>
      <c r="G6" s="462"/>
      <c r="H6" s="457"/>
      <c r="I6" s="456" t="s">
        <v>850</v>
      </c>
      <c r="J6" s="117"/>
    </row>
    <row r="7" spans="1:11" x14ac:dyDescent="0.25">
      <c r="B7" s="437" t="s">
        <v>80</v>
      </c>
      <c r="C7" s="438"/>
      <c r="D7" s="199"/>
      <c r="E7" s="199"/>
      <c r="F7" s="424" t="s">
        <v>0</v>
      </c>
      <c r="G7" s="425"/>
      <c r="H7" s="199"/>
      <c r="I7" s="199"/>
    </row>
    <row r="8" spans="1:11" ht="15" customHeight="1" x14ac:dyDescent="0.25">
      <c r="B8" s="439" t="s">
        <v>40</v>
      </c>
      <c r="C8" s="440"/>
      <c r="D8" s="204"/>
      <c r="E8" s="204"/>
      <c r="F8" s="426" t="s">
        <v>41</v>
      </c>
      <c r="G8" s="427"/>
      <c r="H8" s="238"/>
      <c r="I8" s="238"/>
    </row>
    <row r="9" spans="1:11" ht="18.75" customHeight="1" x14ac:dyDescent="0.25">
      <c r="A9" s="118"/>
      <c r="B9" s="443" t="s">
        <v>851</v>
      </c>
      <c r="C9" s="444"/>
      <c r="D9" s="247">
        <f>SUM(D10:D16)</f>
        <v>9334119</v>
      </c>
      <c r="E9" s="247">
        <f>SUM(E10:E16)</f>
        <v>9739632</v>
      </c>
      <c r="F9" s="435" t="s">
        <v>869</v>
      </c>
      <c r="G9" s="436"/>
      <c r="H9" s="247">
        <f>H10+H11+H12+H13+H14+H15+H16+H17+H18</f>
        <v>45764</v>
      </c>
      <c r="I9" s="247">
        <f>I10+I11+I12+I13+I14+I15+I16+I17+I18</f>
        <v>9750399</v>
      </c>
    </row>
    <row r="10" spans="1:11" ht="22.5" customHeight="1" x14ac:dyDescent="0.25">
      <c r="A10" s="118"/>
      <c r="B10" s="123"/>
      <c r="C10" s="163" t="s">
        <v>852</v>
      </c>
      <c r="D10" s="239"/>
      <c r="E10" s="239"/>
      <c r="F10" s="240"/>
      <c r="G10" s="248" t="s">
        <v>902</v>
      </c>
      <c r="H10" s="239"/>
      <c r="I10" s="239"/>
    </row>
    <row r="11" spans="1:11" ht="18" customHeight="1" x14ac:dyDescent="0.25">
      <c r="A11" s="118"/>
      <c r="B11" s="123"/>
      <c r="C11" s="163" t="s">
        <v>853</v>
      </c>
      <c r="D11" s="239">
        <f>BALANZA!V7</f>
        <v>9334119</v>
      </c>
      <c r="E11" s="239">
        <f>BALANZA!G5</f>
        <v>9739632</v>
      </c>
      <c r="F11" s="240"/>
      <c r="G11" s="248" t="s">
        <v>901</v>
      </c>
      <c r="H11" s="239"/>
      <c r="I11" s="239"/>
    </row>
    <row r="12" spans="1:11" ht="16.5" customHeight="1" x14ac:dyDescent="0.25">
      <c r="A12" s="118"/>
      <c r="B12" s="123"/>
      <c r="C12" s="163" t="s">
        <v>854</v>
      </c>
      <c r="D12" s="239"/>
      <c r="E12" s="239"/>
      <c r="F12" s="240"/>
      <c r="G12" s="248" t="s">
        <v>870</v>
      </c>
      <c r="H12" s="239"/>
      <c r="I12" s="239"/>
    </row>
    <row r="13" spans="1:11" ht="21" customHeight="1" x14ac:dyDescent="0.25">
      <c r="A13" s="118"/>
      <c r="B13" s="123"/>
      <c r="C13" s="163" t="s">
        <v>855</v>
      </c>
      <c r="D13" s="239"/>
      <c r="E13" s="239"/>
      <c r="F13" s="240"/>
      <c r="G13" s="248" t="s">
        <v>904</v>
      </c>
      <c r="H13" s="239"/>
      <c r="I13" s="239"/>
    </row>
    <row r="14" spans="1:11" ht="15.75" customHeight="1" x14ac:dyDescent="0.25">
      <c r="A14" s="118"/>
      <c r="B14" s="123"/>
      <c r="C14" s="163" t="s">
        <v>856</v>
      </c>
      <c r="D14" s="239"/>
      <c r="E14" s="239"/>
      <c r="F14" s="240"/>
      <c r="G14" s="248" t="s">
        <v>903</v>
      </c>
      <c r="H14" s="239"/>
      <c r="I14" s="239"/>
    </row>
    <row r="15" spans="1:11" ht="23.25" customHeight="1" x14ac:dyDescent="0.25">
      <c r="A15" s="118"/>
      <c r="B15" s="123"/>
      <c r="C15" s="163" t="s">
        <v>886</v>
      </c>
      <c r="D15" s="239"/>
      <c r="E15" s="239"/>
      <c r="F15" s="240"/>
      <c r="G15" s="248" t="s">
        <v>906</v>
      </c>
      <c r="H15" s="239"/>
      <c r="I15" s="239"/>
    </row>
    <row r="16" spans="1:11" ht="21" customHeight="1" x14ac:dyDescent="0.25">
      <c r="A16" s="118"/>
      <c r="B16" s="123"/>
      <c r="C16" s="163" t="s">
        <v>887</v>
      </c>
      <c r="D16" s="239"/>
      <c r="E16" s="239"/>
      <c r="F16" s="240"/>
      <c r="G16" s="248" t="s">
        <v>905</v>
      </c>
      <c r="H16" s="239"/>
      <c r="I16" s="239"/>
    </row>
    <row r="17" spans="1:10" ht="16.5" customHeight="1" x14ac:dyDescent="0.25">
      <c r="A17" s="118"/>
      <c r="B17" s="443" t="s">
        <v>857</v>
      </c>
      <c r="C17" s="444"/>
      <c r="D17" s="314">
        <f>SUM(D18:D24)</f>
        <v>0</v>
      </c>
      <c r="E17" s="239">
        <f>SUM(E18:E24)</f>
        <v>15955</v>
      </c>
      <c r="F17" s="240"/>
      <c r="G17" s="248" t="s">
        <v>871</v>
      </c>
      <c r="H17" s="239"/>
      <c r="I17" s="239"/>
    </row>
    <row r="18" spans="1:10" x14ac:dyDescent="0.25">
      <c r="A18" s="118"/>
      <c r="B18" s="123"/>
      <c r="C18" s="301" t="s">
        <v>888</v>
      </c>
      <c r="D18" s="239"/>
      <c r="E18" s="239"/>
      <c r="F18" s="240"/>
      <c r="G18" s="248" t="s">
        <v>872</v>
      </c>
      <c r="H18" s="239">
        <f>BALANZA!V264</f>
        <v>45764</v>
      </c>
      <c r="I18" s="239">
        <f>BALANZA!G264</f>
        <v>9750399</v>
      </c>
    </row>
    <row r="19" spans="1:10" ht="19.5" customHeight="1" x14ac:dyDescent="0.25">
      <c r="A19" s="118"/>
      <c r="B19" s="123"/>
      <c r="C19" s="301" t="s">
        <v>1265</v>
      </c>
      <c r="D19" s="239"/>
      <c r="E19" s="239"/>
      <c r="F19" s="431" t="s">
        <v>873</v>
      </c>
      <c r="G19" s="432"/>
      <c r="H19" s="274">
        <f>H20+H21+H22</f>
        <v>0</v>
      </c>
      <c r="I19" s="274">
        <f>I20+I21+I22</f>
        <v>0</v>
      </c>
    </row>
    <row r="20" spans="1:10" ht="20.25" customHeight="1" x14ac:dyDescent="0.25">
      <c r="A20" s="118"/>
      <c r="B20" s="123"/>
      <c r="C20" s="301" t="s">
        <v>1255</v>
      </c>
      <c r="D20" s="274">
        <f>BALANZA!V45</f>
        <v>0</v>
      </c>
      <c r="E20" s="274">
        <f>BALANZA!V45</f>
        <v>0</v>
      </c>
      <c r="F20" s="240"/>
      <c r="G20" s="248" t="s">
        <v>874</v>
      </c>
      <c r="H20" s="274"/>
      <c r="I20" s="274"/>
    </row>
    <row r="21" spans="1:10" ht="23.25" customHeight="1" x14ac:dyDescent="0.25">
      <c r="A21" s="118"/>
      <c r="B21" s="123"/>
      <c r="C21" s="301" t="s">
        <v>889</v>
      </c>
      <c r="D21" s="239"/>
      <c r="E21" s="239"/>
      <c r="F21" s="240"/>
      <c r="G21" s="248" t="s">
        <v>908</v>
      </c>
      <c r="H21" s="274"/>
      <c r="I21" s="274"/>
    </row>
    <row r="22" spans="1:10" ht="18" customHeight="1" x14ac:dyDescent="0.25">
      <c r="A22" s="118"/>
      <c r="B22" s="123"/>
      <c r="C22" s="301" t="s">
        <v>891</v>
      </c>
      <c r="D22" s="239"/>
      <c r="E22" s="239"/>
      <c r="F22" s="240"/>
      <c r="G22" s="248" t="s">
        <v>907</v>
      </c>
      <c r="H22" s="274"/>
      <c r="I22" s="274"/>
    </row>
    <row r="23" spans="1:10" ht="15.75" customHeight="1" x14ac:dyDescent="0.25">
      <c r="A23" s="118"/>
      <c r="B23" s="123"/>
      <c r="C23" s="301" t="s">
        <v>890</v>
      </c>
      <c r="D23" s="239"/>
      <c r="E23" s="239"/>
      <c r="F23" s="431" t="s">
        <v>875</v>
      </c>
      <c r="G23" s="432"/>
      <c r="H23" s="274">
        <f>H24+H25</f>
        <v>0</v>
      </c>
      <c r="I23" s="274">
        <f>I24+I25</f>
        <v>0</v>
      </c>
    </row>
    <row r="24" spans="1:10" ht="17.25" customHeight="1" x14ac:dyDescent="0.25">
      <c r="A24" s="118"/>
      <c r="B24" s="123"/>
      <c r="C24" s="301" t="s">
        <v>858</v>
      </c>
      <c r="D24" s="314">
        <f>BALANZA!V73</f>
        <v>0</v>
      </c>
      <c r="E24" s="239">
        <f>BALANZA!G42</f>
        <v>15955</v>
      </c>
      <c r="F24" s="240"/>
      <c r="G24" s="248" t="s">
        <v>876</v>
      </c>
      <c r="H24" s="274"/>
      <c r="I24" s="274"/>
    </row>
    <row r="25" spans="1:10" ht="18.75" customHeight="1" x14ac:dyDescent="0.25">
      <c r="A25" s="118"/>
      <c r="B25" s="445" t="s">
        <v>859</v>
      </c>
      <c r="C25" s="446"/>
      <c r="D25" s="274">
        <f>SUM(D26:D30)</f>
        <v>0</v>
      </c>
      <c r="E25" s="274">
        <f>SUM(E26:E30)</f>
        <v>0</v>
      </c>
      <c r="F25" s="240"/>
      <c r="G25" s="248" t="s">
        <v>877</v>
      </c>
      <c r="H25" s="274"/>
      <c r="I25" s="274"/>
    </row>
    <row r="26" spans="1:10" ht="18.75" customHeight="1" x14ac:dyDescent="0.25">
      <c r="A26" s="118"/>
      <c r="B26" s="302"/>
      <c r="C26" s="301" t="s">
        <v>892</v>
      </c>
      <c r="D26" s="274"/>
      <c r="E26" s="274"/>
      <c r="F26" s="431" t="s">
        <v>909</v>
      </c>
      <c r="G26" s="432"/>
      <c r="H26" s="274">
        <v>0</v>
      </c>
      <c r="I26" s="274">
        <v>0</v>
      </c>
    </row>
    <row r="27" spans="1:10" ht="18.75" customHeight="1" x14ac:dyDescent="0.25">
      <c r="A27" s="118"/>
      <c r="B27" s="123"/>
      <c r="C27" s="301" t="s">
        <v>1263</v>
      </c>
      <c r="D27" s="274"/>
      <c r="E27" s="274"/>
      <c r="F27" s="431" t="s">
        <v>878</v>
      </c>
      <c r="G27" s="432"/>
      <c r="H27" s="274">
        <f>H28+H29+H3+H30</f>
        <v>0</v>
      </c>
      <c r="I27" s="274">
        <f>I28+I29+I3+I30</f>
        <v>0</v>
      </c>
    </row>
    <row r="28" spans="1:10" ht="17.25" customHeight="1" x14ac:dyDescent="0.25">
      <c r="A28" s="118"/>
      <c r="B28" s="123"/>
      <c r="C28" s="301" t="s">
        <v>860</v>
      </c>
      <c r="D28" s="274"/>
      <c r="E28" s="274"/>
      <c r="F28" s="240"/>
      <c r="G28" s="248" t="s">
        <v>910</v>
      </c>
      <c r="H28" s="274"/>
      <c r="I28" s="274"/>
    </row>
    <row r="29" spans="1:10" ht="16.5" customHeight="1" x14ac:dyDescent="0.25">
      <c r="A29" s="118"/>
      <c r="B29" s="123"/>
      <c r="C29" s="301" t="s">
        <v>893</v>
      </c>
      <c r="D29" s="274"/>
      <c r="E29" s="274"/>
      <c r="F29" s="240"/>
      <c r="G29" s="248" t="s">
        <v>911</v>
      </c>
      <c r="H29" s="274"/>
      <c r="I29" s="274"/>
    </row>
    <row r="30" spans="1:10" ht="17.25" customHeight="1" x14ac:dyDescent="0.25">
      <c r="A30" s="118"/>
      <c r="B30" s="123"/>
      <c r="C30" s="301" t="s">
        <v>1264</v>
      </c>
      <c r="D30" s="274"/>
      <c r="E30" s="274"/>
      <c r="F30" s="240"/>
      <c r="G30" s="248" t="s">
        <v>912</v>
      </c>
      <c r="H30" s="274"/>
      <c r="I30" s="274"/>
    </row>
    <row r="31" spans="1:10" ht="15" customHeight="1" x14ac:dyDescent="0.25">
      <c r="A31" s="118"/>
      <c r="B31" s="302" t="s">
        <v>861</v>
      </c>
      <c r="C31" s="301"/>
      <c r="D31" s="274">
        <f>D32+D33+D34+D35+D36</f>
        <v>0</v>
      </c>
      <c r="E31" s="274">
        <f>E32+E33+E34+E35+E36</f>
        <v>0</v>
      </c>
      <c r="F31" s="433" t="s">
        <v>913</v>
      </c>
      <c r="G31" s="434"/>
      <c r="H31" s="274">
        <f>+H32+H33+H34+H35+H36+H37</f>
        <v>95371</v>
      </c>
      <c r="I31" s="274">
        <f>+I32+I33+I34+I35+I36+I37</f>
        <v>310862</v>
      </c>
      <c r="J31" s="123"/>
    </row>
    <row r="32" spans="1:10" ht="16.5" customHeight="1" x14ac:dyDescent="0.25">
      <c r="A32" s="118"/>
      <c r="B32" s="123"/>
      <c r="C32" s="301" t="s">
        <v>894</v>
      </c>
      <c r="D32" s="274"/>
      <c r="E32" s="274"/>
      <c r="F32" s="240"/>
      <c r="G32" s="248" t="s">
        <v>879</v>
      </c>
      <c r="H32" s="274"/>
      <c r="I32" s="274"/>
      <c r="J32" s="123"/>
    </row>
    <row r="33" spans="1:10" ht="17.25" customHeight="1" x14ac:dyDescent="0.25">
      <c r="A33" s="118"/>
      <c r="B33" s="123"/>
      <c r="C33" s="301" t="s">
        <v>1262</v>
      </c>
      <c r="D33" s="274"/>
      <c r="E33" s="274"/>
      <c r="F33" s="240"/>
      <c r="G33" s="248" t="s">
        <v>914</v>
      </c>
      <c r="H33" s="274"/>
      <c r="I33" s="274"/>
      <c r="J33" s="123"/>
    </row>
    <row r="34" spans="1:10" ht="18" customHeight="1" x14ac:dyDescent="0.25">
      <c r="A34" s="118"/>
      <c r="B34" s="123"/>
      <c r="C34" s="301" t="s">
        <v>862</v>
      </c>
      <c r="D34" s="274"/>
      <c r="E34" s="274"/>
      <c r="F34" s="240"/>
      <c r="G34" s="248" t="s">
        <v>915</v>
      </c>
      <c r="H34" s="274"/>
      <c r="I34" s="274"/>
      <c r="J34" s="123"/>
    </row>
    <row r="35" spans="1:10" ht="15" customHeight="1" x14ac:dyDescent="0.25">
      <c r="A35" s="118"/>
      <c r="B35" s="123"/>
      <c r="C35" s="301" t="s">
        <v>896</v>
      </c>
      <c r="D35" s="274"/>
      <c r="E35" s="274"/>
      <c r="F35" s="240"/>
      <c r="G35" s="248" t="s">
        <v>880</v>
      </c>
      <c r="H35" s="274"/>
      <c r="I35" s="274"/>
      <c r="J35" s="123"/>
    </row>
    <row r="36" spans="1:10" ht="15" customHeight="1" x14ac:dyDescent="0.25">
      <c r="A36" s="118"/>
      <c r="B36" s="123"/>
      <c r="C36" s="301" t="s">
        <v>895</v>
      </c>
      <c r="D36" s="274"/>
      <c r="E36" s="274"/>
      <c r="F36" s="240"/>
      <c r="G36" s="248" t="s">
        <v>916</v>
      </c>
      <c r="H36" s="274">
        <f>BALANZA!V321</f>
        <v>95371</v>
      </c>
      <c r="I36" s="274">
        <f>BALANZA!G316</f>
        <v>310862</v>
      </c>
      <c r="J36" s="123"/>
    </row>
    <row r="37" spans="1:10" ht="17.25" customHeight="1" x14ac:dyDescent="0.25">
      <c r="A37" s="118"/>
      <c r="B37" s="445" t="s">
        <v>863</v>
      </c>
      <c r="C37" s="446"/>
      <c r="D37" s="274">
        <v>0</v>
      </c>
      <c r="E37" s="274">
        <v>0</v>
      </c>
      <c r="F37" s="241"/>
      <c r="G37" s="248" t="s">
        <v>919</v>
      </c>
      <c r="H37" s="274"/>
      <c r="I37" s="274"/>
      <c r="J37" s="123"/>
    </row>
    <row r="38" spans="1:10" ht="18" customHeight="1" x14ac:dyDescent="0.25">
      <c r="A38" s="118"/>
      <c r="B38" s="445" t="s">
        <v>864</v>
      </c>
      <c r="C38" s="446"/>
      <c r="D38" s="274">
        <f>SUM(D39:D40)</f>
        <v>0</v>
      </c>
      <c r="E38" s="274">
        <f>SUM(E39:E40)</f>
        <v>0</v>
      </c>
      <c r="F38" s="431" t="s">
        <v>881</v>
      </c>
      <c r="G38" s="432"/>
      <c r="H38" s="274">
        <f>H39+H40+H41</f>
        <v>0</v>
      </c>
      <c r="I38" s="274">
        <f>I39+I40+I41</f>
        <v>0</v>
      </c>
      <c r="J38" s="123"/>
    </row>
    <row r="39" spans="1:10" ht="15" customHeight="1" x14ac:dyDescent="0.25">
      <c r="A39" s="118"/>
      <c r="B39" s="123"/>
      <c r="C39" s="301" t="s">
        <v>898</v>
      </c>
      <c r="D39" s="274"/>
      <c r="E39" s="274"/>
      <c r="F39" s="240"/>
      <c r="G39" s="248" t="s">
        <v>918</v>
      </c>
      <c r="H39" s="274"/>
      <c r="I39" s="274"/>
      <c r="J39" s="123"/>
    </row>
    <row r="40" spans="1:10" ht="15" customHeight="1" x14ac:dyDescent="0.25">
      <c r="A40" s="118"/>
      <c r="B40" s="123"/>
      <c r="C40" s="301" t="s">
        <v>897</v>
      </c>
      <c r="D40" s="274"/>
      <c r="E40" s="274"/>
      <c r="F40" s="240"/>
      <c r="G40" s="248" t="s">
        <v>917</v>
      </c>
      <c r="H40" s="274"/>
      <c r="I40" s="274"/>
      <c r="J40" s="123"/>
    </row>
    <row r="41" spans="1:10" ht="15" customHeight="1" x14ac:dyDescent="0.25">
      <c r="A41" s="118"/>
      <c r="B41" s="445" t="s">
        <v>865</v>
      </c>
      <c r="C41" s="446"/>
      <c r="D41" s="274">
        <f>SUM(D42:D45)</f>
        <v>0</v>
      </c>
      <c r="E41" s="274">
        <f>SUM(E42:E45)</f>
        <v>0</v>
      </c>
      <c r="F41" s="241"/>
      <c r="G41" s="248" t="s">
        <v>882</v>
      </c>
      <c r="H41" s="274"/>
      <c r="I41" s="274"/>
      <c r="J41" s="123"/>
    </row>
    <row r="42" spans="1:10" ht="15.75" customHeight="1" x14ac:dyDescent="0.25">
      <c r="A42" s="118"/>
      <c r="B42" s="123"/>
      <c r="C42" s="301" t="s">
        <v>866</v>
      </c>
      <c r="D42" s="239"/>
      <c r="E42" s="239"/>
      <c r="F42" s="431" t="s">
        <v>883</v>
      </c>
      <c r="G42" s="432"/>
      <c r="H42" s="274">
        <f>H43+H44+H45</f>
        <v>0</v>
      </c>
      <c r="I42" s="274">
        <f>I43+I44+I45</f>
        <v>0</v>
      </c>
      <c r="J42" s="123"/>
    </row>
    <row r="43" spans="1:10" ht="15" customHeight="1" x14ac:dyDescent="0.25">
      <c r="A43" s="118"/>
      <c r="B43" s="123"/>
      <c r="C43" s="301" t="s">
        <v>867</v>
      </c>
      <c r="D43" s="239"/>
      <c r="E43" s="239"/>
      <c r="F43" s="240"/>
      <c r="G43" s="248" t="s">
        <v>884</v>
      </c>
      <c r="H43" s="274"/>
      <c r="I43" s="274"/>
      <c r="J43" s="123"/>
    </row>
    <row r="44" spans="1:10" ht="15" customHeight="1" x14ac:dyDescent="0.25">
      <c r="A44" s="118"/>
      <c r="B44" s="123"/>
      <c r="C44" s="301" t="s">
        <v>900</v>
      </c>
      <c r="D44" s="239"/>
      <c r="E44" s="239"/>
      <c r="F44" s="240"/>
      <c r="G44" s="248" t="s">
        <v>1259</v>
      </c>
      <c r="H44" s="274"/>
      <c r="I44" s="274"/>
      <c r="J44" s="123"/>
    </row>
    <row r="45" spans="1:10" ht="17.25" customHeight="1" x14ac:dyDescent="0.25">
      <c r="A45" s="118"/>
      <c r="B45" s="123"/>
      <c r="C45" s="301" t="s">
        <v>899</v>
      </c>
      <c r="D45" s="239"/>
      <c r="E45" s="239"/>
      <c r="F45" s="240"/>
      <c r="G45" s="248" t="s">
        <v>1258</v>
      </c>
      <c r="H45" s="274"/>
      <c r="I45" s="274"/>
      <c r="J45" s="123"/>
    </row>
    <row r="46" spans="1:10" x14ac:dyDescent="0.25">
      <c r="B46" s="429"/>
      <c r="C46" s="430"/>
      <c r="D46" s="239"/>
      <c r="E46" s="239"/>
      <c r="F46" s="240"/>
      <c r="G46" s="242"/>
      <c r="H46" s="274"/>
      <c r="I46" s="274"/>
      <c r="J46" s="123"/>
    </row>
    <row r="47" spans="1:10" ht="15.75" customHeight="1" x14ac:dyDescent="0.25">
      <c r="A47" s="118"/>
      <c r="B47" s="441" t="s">
        <v>868</v>
      </c>
      <c r="C47" s="442"/>
      <c r="D47" s="247">
        <f>D9+D17+D37+D38+D41+D25+D31</f>
        <v>9334119</v>
      </c>
      <c r="E47" s="247">
        <f>E9+E17+E37+E38+E41+E25+E31</f>
        <v>9755587</v>
      </c>
      <c r="F47" s="473" t="s">
        <v>885</v>
      </c>
      <c r="G47" s="474"/>
      <c r="H47" s="275">
        <f>H9+H19+H27+H38+H42+H31+H23+H26</f>
        <v>141135</v>
      </c>
      <c r="I47" s="275">
        <f>I9+I19+I27+I38+I42+I31+I23+I26</f>
        <v>10061261</v>
      </c>
      <c r="J47" s="123"/>
    </row>
    <row r="48" spans="1:10" ht="15.75" customHeight="1" thickBot="1" x14ac:dyDescent="0.3">
      <c r="A48" s="118"/>
      <c r="B48" s="328"/>
      <c r="C48" s="339"/>
      <c r="D48" s="340"/>
      <c r="E48" s="337"/>
      <c r="F48" s="341"/>
      <c r="G48" s="327"/>
      <c r="H48" s="342"/>
      <c r="I48" s="371"/>
      <c r="J48" s="123"/>
    </row>
    <row r="49" spans="1:10" ht="15.75" customHeight="1" x14ac:dyDescent="0.25">
      <c r="A49" s="118"/>
      <c r="B49" s="338"/>
      <c r="C49" s="336"/>
      <c r="D49" s="336"/>
      <c r="E49" s="338"/>
      <c r="F49" s="336"/>
      <c r="G49" s="338"/>
      <c r="H49" s="338"/>
      <c r="I49" s="338"/>
      <c r="J49" s="118"/>
    </row>
    <row r="50" spans="1:10" ht="15.75" customHeight="1" x14ac:dyDescent="0.25">
      <c r="A50" s="118"/>
      <c r="B50" s="336"/>
      <c r="C50" s="336"/>
      <c r="D50" s="336"/>
      <c r="E50" s="336"/>
      <c r="F50" s="336"/>
      <c r="G50" s="336"/>
      <c r="H50" s="336"/>
      <c r="I50" s="336"/>
      <c r="J50" s="118"/>
    </row>
    <row r="51" spans="1:10" ht="15.75" customHeight="1" x14ac:dyDescent="0.25">
      <c r="A51" s="118"/>
      <c r="B51" s="336"/>
      <c r="C51" s="336"/>
      <c r="D51" s="336"/>
      <c r="E51" s="336"/>
      <c r="F51" s="336"/>
      <c r="G51" s="336"/>
      <c r="H51" s="336"/>
      <c r="I51" s="336"/>
      <c r="J51" s="118"/>
    </row>
    <row r="52" spans="1:10" ht="15.75" customHeight="1" x14ac:dyDescent="0.25">
      <c r="A52" s="118"/>
      <c r="B52" s="336"/>
      <c r="C52" s="336"/>
      <c r="D52" s="336"/>
      <c r="E52" s="336"/>
      <c r="F52" s="336"/>
      <c r="G52" s="336"/>
      <c r="H52" s="336"/>
      <c r="I52" s="336"/>
      <c r="J52" s="118"/>
    </row>
    <row r="53" spans="1:10" ht="15.75" customHeight="1" x14ac:dyDescent="0.25">
      <c r="A53" s="118"/>
      <c r="B53" s="336"/>
      <c r="C53" s="336"/>
      <c r="D53" s="336"/>
      <c r="E53" s="336"/>
      <c r="F53" s="336"/>
      <c r="G53" s="336"/>
      <c r="H53" s="336"/>
      <c r="I53" s="336"/>
      <c r="J53" s="118"/>
    </row>
    <row r="54" spans="1:10" ht="15.75" customHeight="1" x14ac:dyDescent="0.25">
      <c r="A54" s="118"/>
      <c r="B54" s="336"/>
      <c r="C54" s="336"/>
      <c r="D54" s="336"/>
      <c r="E54" s="336"/>
      <c r="F54" s="336"/>
      <c r="G54" s="336"/>
      <c r="H54" s="336"/>
      <c r="I54" s="336"/>
      <c r="J54" s="118"/>
    </row>
    <row r="55" spans="1:10" ht="15.75" customHeight="1" x14ac:dyDescent="0.25">
      <c r="A55" s="118"/>
      <c r="B55" s="336"/>
      <c r="C55" s="336"/>
      <c r="D55" s="336"/>
      <c r="E55" s="336"/>
      <c r="F55" s="336"/>
      <c r="G55" s="336"/>
      <c r="H55" s="336"/>
      <c r="I55" s="336"/>
      <c r="J55" s="118"/>
    </row>
    <row r="56" spans="1:10" ht="15.75" customHeight="1" x14ac:dyDescent="0.25">
      <c r="A56" s="118"/>
      <c r="B56" s="336"/>
      <c r="C56" s="336"/>
      <c r="D56" s="336"/>
      <c r="E56" s="336"/>
      <c r="F56" s="336"/>
      <c r="G56" s="336"/>
      <c r="H56" s="336"/>
      <c r="I56" s="336"/>
      <c r="J56" s="118"/>
    </row>
    <row r="57" spans="1:10" ht="15.75" customHeight="1" x14ac:dyDescent="0.25">
      <c r="A57" s="118"/>
      <c r="B57" s="336"/>
      <c r="C57" s="336"/>
      <c r="D57" s="336"/>
      <c r="E57" s="336"/>
      <c r="F57" s="336"/>
      <c r="G57" s="336"/>
      <c r="H57" s="336"/>
      <c r="I57" s="336"/>
      <c r="J57" s="118"/>
    </row>
    <row r="58" spans="1:10" ht="15.75" customHeight="1" x14ac:dyDescent="0.25">
      <c r="A58" s="118"/>
      <c r="B58" s="336"/>
      <c r="C58" s="336"/>
      <c r="D58" s="336"/>
      <c r="E58" s="336"/>
      <c r="F58" s="336"/>
      <c r="G58" s="336"/>
      <c r="H58" s="336"/>
      <c r="I58" s="336"/>
      <c r="J58" s="118"/>
    </row>
    <row r="59" spans="1:10" ht="15.75" customHeight="1" x14ac:dyDescent="0.25">
      <c r="A59" s="118"/>
      <c r="B59" s="336"/>
      <c r="C59" s="336"/>
      <c r="D59" s="336"/>
      <c r="E59" s="336"/>
      <c r="F59" s="336"/>
      <c r="G59" s="336"/>
      <c r="H59" s="336"/>
      <c r="I59" s="336"/>
      <c r="J59" s="118"/>
    </row>
    <row r="60" spans="1:10" ht="15.75" customHeight="1" thickBot="1" x14ac:dyDescent="0.3">
      <c r="A60" s="118"/>
      <c r="B60" s="336"/>
      <c r="C60" s="336"/>
      <c r="D60" s="343"/>
      <c r="E60" s="343"/>
      <c r="F60" s="343"/>
      <c r="G60" s="336"/>
      <c r="H60" s="343"/>
      <c r="I60" s="336"/>
      <c r="J60" s="118"/>
    </row>
    <row r="61" spans="1:10" x14ac:dyDescent="0.25">
      <c r="B61" s="467" t="s">
        <v>55</v>
      </c>
      <c r="C61" s="468"/>
      <c r="D61" s="239"/>
      <c r="E61" s="239"/>
      <c r="F61" s="243" t="s">
        <v>56</v>
      </c>
      <c r="G61" s="344"/>
      <c r="H61" s="275">
        <v>0</v>
      </c>
      <c r="I61" s="345">
        <v>0</v>
      </c>
      <c r="J61" s="123"/>
    </row>
    <row r="62" spans="1:10" x14ac:dyDescent="0.25">
      <c r="B62" s="465" t="s">
        <v>920</v>
      </c>
      <c r="C62" s="466"/>
      <c r="D62" s="239"/>
      <c r="E62" s="239"/>
      <c r="F62" s="471" t="s">
        <v>923</v>
      </c>
      <c r="G62" s="471"/>
      <c r="H62" s="274"/>
      <c r="I62" s="274"/>
      <c r="J62" s="123"/>
    </row>
    <row r="63" spans="1:10" x14ac:dyDescent="0.25">
      <c r="A63" s="118"/>
      <c r="B63" s="465" t="s">
        <v>921</v>
      </c>
      <c r="C63" s="466"/>
      <c r="D63" s="239"/>
      <c r="E63" s="239"/>
      <c r="F63" s="471" t="s">
        <v>924</v>
      </c>
      <c r="G63" s="471"/>
      <c r="H63" s="274"/>
      <c r="I63" s="274"/>
      <c r="J63" s="123"/>
    </row>
    <row r="64" spans="1:10" x14ac:dyDescent="0.25">
      <c r="A64" s="118"/>
      <c r="B64" s="465" t="s">
        <v>1285</v>
      </c>
      <c r="C64" s="466"/>
      <c r="D64" s="239">
        <f>BALANZA!V108</f>
        <v>867420.59</v>
      </c>
      <c r="E64" s="239">
        <f>BALANZA!G108</f>
        <v>867420.59</v>
      </c>
      <c r="F64" s="471" t="s">
        <v>925</v>
      </c>
      <c r="G64" s="471"/>
      <c r="H64" s="274"/>
      <c r="I64" s="274"/>
      <c r="J64" s="123"/>
    </row>
    <row r="65" spans="1:13" s="202" customFormat="1" x14ac:dyDescent="0.25">
      <c r="A65" s="201"/>
      <c r="B65" s="445" t="s">
        <v>1284</v>
      </c>
      <c r="C65" s="446"/>
      <c r="D65" s="244">
        <f>BALANZA!V118</f>
        <v>2427106.77</v>
      </c>
      <c r="E65" s="244">
        <f>BALANZA!G118</f>
        <v>2488176.27</v>
      </c>
      <c r="F65" s="471" t="s">
        <v>943</v>
      </c>
      <c r="G65" s="471"/>
      <c r="H65" s="274"/>
      <c r="I65" s="274"/>
      <c r="J65" s="203"/>
      <c r="K65" s="201" t="s">
        <v>1300</v>
      </c>
      <c r="L65" s="201"/>
      <c r="M65" s="201"/>
    </row>
    <row r="66" spans="1:13" x14ac:dyDescent="0.25">
      <c r="A66" s="118"/>
      <c r="B66" s="465" t="s">
        <v>922</v>
      </c>
      <c r="C66" s="466"/>
      <c r="D66" s="239">
        <f>BALANZA!V218</f>
        <v>30712.080000000002</v>
      </c>
      <c r="E66" s="239">
        <f>BALANZA!G218</f>
        <v>30712.080000000002</v>
      </c>
      <c r="F66" s="471" t="s">
        <v>942</v>
      </c>
      <c r="G66" s="471"/>
      <c r="H66" s="274"/>
      <c r="I66" s="274"/>
      <c r="J66" s="123"/>
    </row>
    <row r="67" spans="1:13" x14ac:dyDescent="0.25">
      <c r="A67" s="118"/>
      <c r="B67" s="465" t="s">
        <v>945</v>
      </c>
      <c r="C67" s="466"/>
      <c r="D67" s="239"/>
      <c r="E67" s="245"/>
      <c r="F67" s="241"/>
      <c r="G67" s="241"/>
      <c r="H67" s="274"/>
      <c r="I67" s="274"/>
      <c r="J67" s="123"/>
    </row>
    <row r="68" spans="1:13" x14ac:dyDescent="0.25">
      <c r="A68" s="118"/>
      <c r="B68" s="465" t="s">
        <v>944</v>
      </c>
      <c r="C68" s="466"/>
      <c r="D68" s="239">
        <f>BALANZA!V235</f>
        <v>15000</v>
      </c>
      <c r="E68" s="239">
        <f>BALANZA!G235</f>
        <v>15000</v>
      </c>
      <c r="F68" s="463" t="s">
        <v>946</v>
      </c>
      <c r="G68" s="463"/>
      <c r="H68" s="274">
        <f>H62+H63+H64+H65+H66</f>
        <v>0</v>
      </c>
      <c r="I68" s="274">
        <f>I62+I63+I64+I65+I66</f>
        <v>0</v>
      </c>
      <c r="J68" s="123"/>
    </row>
    <row r="69" spans="1:13" ht="12" customHeight="1" x14ac:dyDescent="0.25">
      <c r="A69" s="118"/>
      <c r="B69" s="465" t="s">
        <v>1261</v>
      </c>
      <c r="C69" s="466"/>
      <c r="D69" s="239"/>
      <c r="E69" s="239"/>
      <c r="F69" s="241"/>
      <c r="G69" s="241"/>
      <c r="H69" s="274"/>
      <c r="I69" s="274"/>
      <c r="J69" s="123"/>
    </row>
    <row r="70" spans="1:13" ht="12" customHeight="1" x14ac:dyDescent="0.25">
      <c r="A70" s="118"/>
      <c r="B70" s="465" t="s">
        <v>1260</v>
      </c>
      <c r="C70" s="466"/>
      <c r="D70" s="239"/>
      <c r="E70" s="239"/>
      <c r="F70" s="241"/>
      <c r="G70" s="242"/>
      <c r="H70" s="274"/>
      <c r="I70" s="274"/>
      <c r="J70" s="123"/>
    </row>
    <row r="71" spans="1:13" x14ac:dyDescent="0.25">
      <c r="A71" s="118"/>
      <c r="B71" s="123"/>
      <c r="C71" s="120"/>
      <c r="D71" s="239"/>
      <c r="E71" s="239"/>
      <c r="F71" s="464" t="s">
        <v>947</v>
      </c>
      <c r="G71" s="464"/>
      <c r="H71" s="275">
        <f>H47+H68</f>
        <v>141135</v>
      </c>
      <c r="I71" s="275">
        <f>I47+I68</f>
        <v>10061261</v>
      </c>
      <c r="J71" s="123"/>
    </row>
    <row r="72" spans="1:13" x14ac:dyDescent="0.25">
      <c r="A72" s="118"/>
      <c r="B72" s="441" t="s">
        <v>941</v>
      </c>
      <c r="C72" s="442"/>
      <c r="D72" s="247">
        <f>SUM(D62:D70)</f>
        <v>3340239.44</v>
      </c>
      <c r="E72" s="247">
        <f>SUM(E62:E70)-1</f>
        <v>3401307.94</v>
      </c>
      <c r="F72" s="241"/>
      <c r="G72" s="242"/>
      <c r="H72" s="274"/>
      <c r="I72" s="274"/>
      <c r="J72" s="123"/>
    </row>
    <row r="73" spans="1:13" x14ac:dyDescent="0.25">
      <c r="A73" s="118"/>
      <c r="B73" s="123"/>
      <c r="C73" s="120"/>
      <c r="D73" s="239"/>
      <c r="E73" s="239"/>
      <c r="F73" s="464" t="s">
        <v>926</v>
      </c>
      <c r="G73" s="464"/>
      <c r="H73" s="274"/>
      <c r="I73" s="274"/>
      <c r="J73" s="123"/>
    </row>
    <row r="74" spans="1:13" x14ac:dyDescent="0.25">
      <c r="A74" s="118"/>
      <c r="B74" s="469" t="s">
        <v>940</v>
      </c>
      <c r="C74" s="470"/>
      <c r="D74" s="247">
        <f>D47+D72+1</f>
        <v>12674359.439999999</v>
      </c>
      <c r="E74" s="247">
        <f>E47+E72</f>
        <v>13156894.939999999</v>
      </c>
      <c r="F74" s="241"/>
      <c r="G74" s="242"/>
      <c r="H74" s="274"/>
      <c r="I74" s="274"/>
      <c r="J74" s="123"/>
    </row>
    <row r="75" spans="1:13" ht="9.75" customHeight="1" x14ac:dyDescent="0.25">
      <c r="A75" s="118"/>
      <c r="B75" s="303"/>
      <c r="C75" s="298"/>
      <c r="D75" s="239"/>
      <c r="E75" s="239"/>
      <c r="F75" s="241"/>
      <c r="G75" s="242"/>
      <c r="H75" s="274"/>
      <c r="I75" s="274"/>
      <c r="J75" s="123"/>
    </row>
    <row r="76" spans="1:13" x14ac:dyDescent="0.25">
      <c r="A76" s="118"/>
      <c r="B76" s="123"/>
      <c r="C76" s="120"/>
      <c r="D76" s="239"/>
      <c r="E76" s="239"/>
      <c r="F76" s="464" t="s">
        <v>927</v>
      </c>
      <c r="G76" s="464"/>
      <c r="H76" s="275">
        <f>H77+H78+H79</f>
        <v>0</v>
      </c>
      <c r="I76" s="275">
        <f>I77+I78+I79</f>
        <v>0</v>
      </c>
      <c r="J76" s="123"/>
    </row>
    <row r="77" spans="1:13" x14ac:dyDescent="0.25">
      <c r="A77" s="118"/>
      <c r="B77" s="123"/>
      <c r="C77" s="120"/>
      <c r="D77" s="239"/>
      <c r="E77" s="239"/>
      <c r="F77" s="471" t="s">
        <v>928</v>
      </c>
      <c r="G77" s="471"/>
      <c r="H77" s="274"/>
      <c r="I77" s="274"/>
      <c r="J77" s="123"/>
    </row>
    <row r="78" spans="1:13" x14ac:dyDescent="0.25">
      <c r="A78" s="118"/>
      <c r="B78" s="123"/>
      <c r="C78" s="120"/>
      <c r="D78" s="239"/>
      <c r="E78" s="239"/>
      <c r="F78" s="471" t="s">
        <v>929</v>
      </c>
      <c r="G78" s="471"/>
      <c r="H78" s="274"/>
      <c r="I78" s="274"/>
      <c r="J78" s="123"/>
    </row>
    <row r="79" spans="1:13" x14ac:dyDescent="0.25">
      <c r="A79" s="118"/>
      <c r="B79" s="123"/>
      <c r="C79" s="120"/>
      <c r="D79" s="239"/>
      <c r="E79" s="239"/>
      <c r="F79" s="471" t="s">
        <v>930</v>
      </c>
      <c r="G79" s="471"/>
      <c r="H79" s="274"/>
      <c r="I79" s="274"/>
      <c r="J79" s="123"/>
    </row>
    <row r="80" spans="1:13" ht="9.75" customHeight="1" x14ac:dyDescent="0.25">
      <c r="A80" s="118"/>
      <c r="B80" s="123"/>
      <c r="C80" s="120"/>
      <c r="D80" s="239"/>
      <c r="E80" s="239"/>
      <c r="F80" s="241"/>
      <c r="G80" s="249"/>
      <c r="H80" s="274"/>
      <c r="I80" s="274"/>
      <c r="J80" s="123"/>
    </row>
    <row r="81" spans="1:10" ht="10.5" customHeight="1" x14ac:dyDescent="0.25">
      <c r="A81" s="118"/>
      <c r="B81" s="123"/>
      <c r="C81" s="120"/>
      <c r="D81" s="239"/>
      <c r="E81" s="239"/>
      <c r="F81" s="241"/>
      <c r="G81" s="249"/>
      <c r="H81" s="274"/>
      <c r="I81" s="274"/>
      <c r="J81" s="123"/>
    </row>
    <row r="82" spans="1:10" x14ac:dyDescent="0.25">
      <c r="A82" s="118"/>
      <c r="B82" s="123"/>
      <c r="C82" s="120"/>
      <c r="D82" s="239"/>
      <c r="E82" s="239"/>
      <c r="F82" s="464" t="s">
        <v>931</v>
      </c>
      <c r="G82" s="464"/>
      <c r="H82" s="275">
        <f>H83+H84+H85+H86</f>
        <v>9632813.8200000003</v>
      </c>
      <c r="I82" s="275">
        <f>I83+I84+I85+I86</f>
        <v>-290674</v>
      </c>
      <c r="J82" s="123"/>
    </row>
    <row r="83" spans="1:10" x14ac:dyDescent="0.25">
      <c r="A83" s="118"/>
      <c r="B83" s="123"/>
      <c r="C83" s="120"/>
      <c r="D83" s="239"/>
      <c r="E83" s="239"/>
      <c r="F83" s="471" t="s">
        <v>932</v>
      </c>
      <c r="G83" s="471"/>
      <c r="H83" s="274">
        <f>BALANZA!V374</f>
        <v>9923488</v>
      </c>
      <c r="I83" s="274">
        <v>-267442</v>
      </c>
      <c r="J83" s="123"/>
    </row>
    <row r="84" spans="1:10" x14ac:dyDescent="0.25">
      <c r="A84" s="118"/>
      <c r="B84" s="123"/>
      <c r="C84" s="120"/>
      <c r="D84" s="239"/>
      <c r="E84" s="239"/>
      <c r="F84" s="471" t="s">
        <v>933</v>
      </c>
      <c r="G84" s="471"/>
      <c r="H84" s="274">
        <f>BALANZA!V375</f>
        <v>-290674.18</v>
      </c>
      <c r="I84" s="274">
        <v>-23232</v>
      </c>
      <c r="J84" s="123"/>
    </row>
    <row r="85" spans="1:10" x14ac:dyDescent="0.25">
      <c r="A85" s="118"/>
      <c r="B85" s="123"/>
      <c r="C85" s="120"/>
      <c r="D85" s="239"/>
      <c r="E85" s="239"/>
      <c r="F85" s="471" t="s">
        <v>934</v>
      </c>
      <c r="G85" s="471"/>
      <c r="H85" s="274"/>
      <c r="I85" s="274"/>
      <c r="J85" s="123"/>
    </row>
    <row r="86" spans="1:10" x14ac:dyDescent="0.25">
      <c r="A86" s="118"/>
      <c r="B86" s="123"/>
      <c r="C86" s="120"/>
      <c r="D86" s="239"/>
      <c r="E86" s="239"/>
      <c r="F86" s="471" t="s">
        <v>935</v>
      </c>
      <c r="G86" s="471"/>
      <c r="H86" s="274"/>
      <c r="I86" s="274"/>
      <c r="J86" s="123"/>
    </row>
    <row r="87" spans="1:10" ht="11.25" customHeight="1" x14ac:dyDescent="0.25">
      <c r="A87" s="118"/>
      <c r="B87" s="123"/>
      <c r="C87" s="120"/>
      <c r="D87" s="239"/>
      <c r="E87" s="239"/>
      <c r="F87" s="241"/>
      <c r="G87" s="249"/>
      <c r="H87" s="274"/>
      <c r="I87" s="274"/>
      <c r="J87" s="123"/>
    </row>
    <row r="88" spans="1:10" ht="11.25" customHeight="1" x14ac:dyDescent="0.25">
      <c r="A88" s="118"/>
      <c r="B88" s="123"/>
      <c r="C88" s="120"/>
      <c r="D88" s="239"/>
      <c r="E88" s="239"/>
      <c r="F88" s="241"/>
      <c r="G88" s="249"/>
      <c r="H88" s="274"/>
      <c r="I88" s="274"/>
      <c r="J88" s="123"/>
    </row>
    <row r="89" spans="1:10" ht="27" customHeight="1" x14ac:dyDescent="0.25">
      <c r="A89" s="118"/>
      <c r="B89" s="123"/>
      <c r="C89" s="120"/>
      <c r="D89" s="239"/>
      <c r="E89" s="239"/>
      <c r="F89" s="435" t="s">
        <v>1266</v>
      </c>
      <c r="G89" s="436"/>
      <c r="H89" s="275">
        <f>H90+H91</f>
        <v>2900410</v>
      </c>
      <c r="I89" s="275">
        <f>I90+I91</f>
        <v>3386308</v>
      </c>
      <c r="J89" s="123"/>
    </row>
    <row r="90" spans="1:10" x14ac:dyDescent="0.25">
      <c r="A90" s="118"/>
      <c r="B90" s="123"/>
      <c r="C90" s="120"/>
      <c r="D90" s="239"/>
      <c r="E90" s="239"/>
      <c r="F90" s="471" t="s">
        <v>936</v>
      </c>
      <c r="G90" s="471"/>
      <c r="H90" s="274"/>
      <c r="I90" s="274"/>
      <c r="J90" s="123"/>
    </row>
    <row r="91" spans="1:10" x14ac:dyDescent="0.25">
      <c r="A91" s="118"/>
      <c r="B91" s="123"/>
      <c r="C91" s="120"/>
      <c r="D91" s="246"/>
      <c r="E91" s="246"/>
      <c r="F91" s="471" t="s">
        <v>937</v>
      </c>
      <c r="G91" s="471"/>
      <c r="H91" s="274">
        <f>BALANZA!V405</f>
        <v>2900410</v>
      </c>
      <c r="I91" s="274">
        <f>BALANZA!G405</f>
        <v>3386308</v>
      </c>
      <c r="J91" s="123"/>
    </row>
    <row r="92" spans="1:10" x14ac:dyDescent="0.25">
      <c r="A92" s="118"/>
      <c r="B92" s="123"/>
      <c r="C92" s="120"/>
      <c r="D92" s="246"/>
      <c r="E92" s="246"/>
      <c r="F92" s="241"/>
      <c r="G92" s="249"/>
      <c r="H92" s="274"/>
      <c r="I92" s="274"/>
      <c r="J92" s="123"/>
    </row>
    <row r="93" spans="1:10" x14ac:dyDescent="0.25">
      <c r="A93" s="118"/>
      <c r="B93" s="123"/>
      <c r="C93" s="120"/>
      <c r="D93" s="246"/>
      <c r="E93" s="246"/>
      <c r="F93" s="464" t="s">
        <v>938</v>
      </c>
      <c r="G93" s="464"/>
      <c r="H93" s="275">
        <f>H76+H82+H89</f>
        <v>12533223.82</v>
      </c>
      <c r="I93" s="275">
        <f>I76+I82+I89</f>
        <v>3095634</v>
      </c>
      <c r="J93" s="123"/>
    </row>
    <row r="94" spans="1:10" x14ac:dyDescent="0.25">
      <c r="A94" s="118"/>
      <c r="B94" s="123"/>
      <c r="C94" s="120"/>
      <c r="D94" s="246"/>
      <c r="E94" s="246"/>
      <c r="F94" s="241"/>
      <c r="G94" s="249"/>
      <c r="H94" s="274"/>
      <c r="I94" s="274"/>
      <c r="J94" s="123"/>
    </row>
    <row r="95" spans="1:10" x14ac:dyDescent="0.25">
      <c r="A95" s="118"/>
      <c r="B95" s="123"/>
      <c r="C95" s="120"/>
      <c r="D95" s="246"/>
      <c r="E95" s="246"/>
      <c r="F95" s="472" t="s">
        <v>939</v>
      </c>
      <c r="G95" s="472"/>
      <c r="H95" s="275">
        <f>H71+H93</f>
        <v>12674358.82</v>
      </c>
      <c r="I95" s="275">
        <f>I71+I93</f>
        <v>13156895</v>
      </c>
      <c r="J95" s="123"/>
    </row>
    <row r="96" spans="1:10" x14ac:dyDescent="0.25">
      <c r="A96" s="118"/>
      <c r="B96" s="123"/>
      <c r="C96" s="120"/>
      <c r="D96" s="246"/>
      <c r="E96" s="246"/>
      <c r="F96" s="241"/>
      <c r="G96" s="242"/>
      <c r="H96" s="239"/>
      <c r="I96" s="239"/>
      <c r="J96" s="123"/>
    </row>
    <row r="97" spans="1:10" x14ac:dyDescent="0.25">
      <c r="A97" s="118"/>
      <c r="B97" s="123"/>
      <c r="C97" s="120"/>
      <c r="D97" s="246"/>
      <c r="E97" s="246"/>
      <c r="F97" s="241"/>
      <c r="G97" s="242"/>
      <c r="H97" s="239"/>
      <c r="I97" s="239"/>
      <c r="J97" s="123"/>
    </row>
    <row r="98" spans="1:10" ht="15.75" thickBot="1" x14ac:dyDescent="0.3">
      <c r="A98" s="118"/>
      <c r="B98" s="125"/>
      <c r="C98" s="127"/>
      <c r="D98" s="200"/>
      <c r="E98" s="200"/>
      <c r="F98" s="126"/>
      <c r="G98" s="126"/>
      <c r="H98" s="200"/>
      <c r="I98" s="200"/>
      <c r="J98" s="123"/>
    </row>
    <row r="99" spans="1:10" x14ac:dyDescent="0.25">
      <c r="H99" s="121"/>
    </row>
    <row r="102" spans="1:10" x14ac:dyDescent="0.25">
      <c r="C102" s="299" t="s">
        <v>1292</v>
      </c>
      <c r="D102" s="32"/>
      <c r="E102" s="32"/>
      <c r="F102" s="32"/>
      <c r="G102" s="300" t="s">
        <v>1294</v>
      </c>
    </row>
    <row r="103" spans="1:10" x14ac:dyDescent="0.25">
      <c r="C103" s="300" t="s">
        <v>1293</v>
      </c>
      <c r="D103" s="32"/>
      <c r="E103" s="32"/>
      <c r="F103" s="32"/>
      <c r="G103" s="300" t="s">
        <v>1295</v>
      </c>
    </row>
  </sheetData>
  <mergeCells count="64">
    <mergeCell ref="F95:G95"/>
    <mergeCell ref="F38:G38"/>
    <mergeCell ref="F42:G42"/>
    <mergeCell ref="F47:G47"/>
    <mergeCell ref="F76:G76"/>
    <mergeCell ref="F77:G77"/>
    <mergeCell ref="F78:G78"/>
    <mergeCell ref="F84:G84"/>
    <mergeCell ref="F85:G85"/>
    <mergeCell ref="F86:G86"/>
    <mergeCell ref="F89:G89"/>
    <mergeCell ref="F79:G79"/>
    <mergeCell ref="F90:G90"/>
    <mergeCell ref="F91:G91"/>
    <mergeCell ref="F82:G82"/>
    <mergeCell ref="F83:G83"/>
    <mergeCell ref="F93:G93"/>
    <mergeCell ref="B61:C61"/>
    <mergeCell ref="B72:C72"/>
    <mergeCell ref="B62:C62"/>
    <mergeCell ref="B63:C63"/>
    <mergeCell ref="B64:C64"/>
    <mergeCell ref="B66:C66"/>
    <mergeCell ref="B67:C67"/>
    <mergeCell ref="B70:C70"/>
    <mergeCell ref="B65:C65"/>
    <mergeCell ref="B74:C74"/>
    <mergeCell ref="F62:G62"/>
    <mergeCell ref="F63:G63"/>
    <mergeCell ref="F64:G64"/>
    <mergeCell ref="F65:G65"/>
    <mergeCell ref="F66:G66"/>
    <mergeCell ref="F68:G68"/>
    <mergeCell ref="F71:G71"/>
    <mergeCell ref="F73:G73"/>
    <mergeCell ref="B68:C68"/>
    <mergeCell ref="B69:C69"/>
    <mergeCell ref="B2:I2"/>
    <mergeCell ref="B3:I3"/>
    <mergeCell ref="B4:I4"/>
    <mergeCell ref="D5:D6"/>
    <mergeCell ref="H5:H6"/>
    <mergeCell ref="I5:I6"/>
    <mergeCell ref="B5:C6"/>
    <mergeCell ref="F5:G6"/>
    <mergeCell ref="B47:C47"/>
    <mergeCell ref="B9:C9"/>
    <mergeCell ref="B38:C38"/>
    <mergeCell ref="B41:C41"/>
    <mergeCell ref="B37:C37"/>
    <mergeCell ref="B17:C17"/>
    <mergeCell ref="B25:C25"/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</mergeCells>
  <printOptions horizontalCentered="1" verticalCentered="1"/>
  <pageMargins left="0" right="0" top="0.34" bottom="0" header="0.34" footer="0"/>
  <pageSetup scale="6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B2" sqref="B2:K2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2.7109375" customWidth="1"/>
    <col min="8" max="8" width="13.710937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1303</v>
      </c>
    </row>
    <row r="2" spans="2:13" ht="15.75" thickBot="1" x14ac:dyDescent="0.3">
      <c r="B2" s="496" t="s">
        <v>697</v>
      </c>
      <c r="C2" s="497"/>
      <c r="D2" s="498"/>
      <c r="E2" s="498"/>
      <c r="F2" s="498"/>
      <c r="G2" s="498"/>
      <c r="H2" s="498"/>
      <c r="I2" s="498"/>
      <c r="J2" s="498"/>
      <c r="K2" s="499"/>
    </row>
    <row r="3" spans="2:13" ht="15.75" customHeight="1" thickBot="1" x14ac:dyDescent="0.3">
      <c r="B3" s="496" t="s">
        <v>948</v>
      </c>
      <c r="C3" s="497"/>
      <c r="D3" s="498"/>
      <c r="E3" s="498"/>
      <c r="F3" s="498"/>
      <c r="G3" s="498"/>
      <c r="H3" s="498"/>
      <c r="I3" s="498"/>
      <c r="J3" s="498"/>
      <c r="K3" s="499"/>
    </row>
    <row r="4" spans="2:13" ht="15.75" customHeight="1" thickBot="1" x14ac:dyDescent="0.3">
      <c r="B4" s="496" t="s">
        <v>1308</v>
      </c>
      <c r="C4" s="497"/>
      <c r="D4" s="498"/>
      <c r="E4" s="498"/>
      <c r="F4" s="498"/>
      <c r="G4" s="498"/>
      <c r="H4" s="498"/>
      <c r="I4" s="498"/>
      <c r="J4" s="498"/>
      <c r="K4" s="499"/>
    </row>
    <row r="5" spans="2:13" ht="15.75" customHeight="1" thickBot="1" x14ac:dyDescent="0.3">
      <c r="B5" s="496" t="s">
        <v>949</v>
      </c>
      <c r="C5" s="497"/>
      <c r="D5" s="498"/>
      <c r="E5" s="498"/>
      <c r="F5" s="498"/>
      <c r="G5" s="498"/>
      <c r="H5" s="498"/>
      <c r="I5" s="498"/>
      <c r="J5" s="498"/>
      <c r="K5" s="499"/>
    </row>
    <row r="6" spans="2:13" ht="36.75" customHeight="1" x14ac:dyDescent="0.25">
      <c r="B6" s="500" t="s">
        <v>968</v>
      </c>
      <c r="C6" s="501"/>
      <c r="D6" s="502"/>
      <c r="E6" s="357" t="s">
        <v>969</v>
      </c>
      <c r="F6" s="506" t="s">
        <v>950</v>
      </c>
      <c r="G6" s="506" t="s">
        <v>951</v>
      </c>
      <c r="H6" s="506" t="s">
        <v>970</v>
      </c>
      <c r="I6" s="357" t="s">
        <v>971</v>
      </c>
      <c r="J6" s="506" t="s">
        <v>953</v>
      </c>
      <c r="K6" s="506" t="s">
        <v>954</v>
      </c>
    </row>
    <row r="7" spans="2:13" ht="41.25" customHeight="1" thickBot="1" x14ac:dyDescent="0.3">
      <c r="B7" s="503"/>
      <c r="C7" s="504"/>
      <c r="D7" s="505"/>
      <c r="E7" s="358" t="s">
        <v>1301</v>
      </c>
      <c r="F7" s="507"/>
      <c r="G7" s="507"/>
      <c r="H7" s="507"/>
      <c r="I7" s="358" t="s">
        <v>952</v>
      </c>
      <c r="J7" s="507"/>
      <c r="K7" s="507"/>
    </row>
    <row r="8" spans="2:13" x14ac:dyDescent="0.25">
      <c r="B8" s="493"/>
      <c r="C8" s="494"/>
      <c r="D8" s="495"/>
      <c r="E8" s="250"/>
      <c r="F8" s="250"/>
      <c r="G8" s="250"/>
      <c r="H8" s="250"/>
      <c r="I8" s="250"/>
      <c r="J8" s="250"/>
      <c r="K8" s="250"/>
    </row>
    <row r="9" spans="2:13" ht="22.5" customHeight="1" x14ac:dyDescent="0.25">
      <c r="B9" s="476" t="s">
        <v>955</v>
      </c>
      <c r="C9" s="477"/>
      <c r="D9" s="478"/>
      <c r="E9" s="276">
        <f>E10+E18</f>
        <v>0</v>
      </c>
      <c r="F9" s="276">
        <f>F10+F18</f>
        <v>0</v>
      </c>
      <c r="G9" s="276">
        <f>G10+G18</f>
        <v>0</v>
      </c>
      <c r="H9" s="276">
        <f>H10+H18</f>
        <v>0</v>
      </c>
      <c r="I9" s="276">
        <f>E9+F9-G9+H9</f>
        <v>0</v>
      </c>
      <c r="J9" s="276">
        <f>J10+J18</f>
        <v>0</v>
      </c>
      <c r="K9" s="276">
        <f>K10+K18</f>
        <v>0</v>
      </c>
    </row>
    <row r="10" spans="2:13" x14ac:dyDescent="0.25">
      <c r="B10" s="426" t="s">
        <v>977</v>
      </c>
      <c r="C10" s="427"/>
      <c r="D10" s="460"/>
      <c r="E10" s="276">
        <f>E12+E14+E16</f>
        <v>0</v>
      </c>
      <c r="F10" s="276">
        <f>F12+F14+F16</f>
        <v>0</v>
      </c>
      <c r="G10" s="276">
        <f>G12+G14+G16</f>
        <v>0</v>
      </c>
      <c r="H10" s="276">
        <f>H12+H14+H16</f>
        <v>0</v>
      </c>
      <c r="I10" s="276">
        <f>E10+F10-G10+H10</f>
        <v>0</v>
      </c>
      <c r="J10" s="276">
        <f>J12+J14+J16</f>
        <v>0</v>
      </c>
      <c r="K10" s="276">
        <f>K12+K14+K16</f>
        <v>0</v>
      </c>
    </row>
    <row r="11" spans="2:13" ht="11.25" customHeight="1" x14ac:dyDescent="0.25">
      <c r="B11" s="123"/>
      <c r="C11" s="216"/>
      <c r="D11" s="210"/>
      <c r="E11" s="252"/>
      <c r="F11" s="252"/>
      <c r="G11" s="252"/>
      <c r="H11" s="252"/>
      <c r="I11" s="252"/>
      <c r="J11" s="252"/>
      <c r="K11" s="252"/>
    </row>
    <row r="12" spans="2:13" x14ac:dyDescent="0.25">
      <c r="B12" s="212"/>
      <c r="C12" s="213"/>
      <c r="D12" s="132" t="s">
        <v>972</v>
      </c>
      <c r="E12" s="252"/>
      <c r="F12" s="252"/>
      <c r="G12" s="252"/>
      <c r="H12" s="252"/>
      <c r="I12" s="252"/>
      <c r="J12" s="252"/>
      <c r="K12" s="252"/>
    </row>
    <row r="13" spans="2:13" ht="12" customHeight="1" x14ac:dyDescent="0.25">
      <c r="B13" s="212"/>
      <c r="C13" s="213"/>
      <c r="D13" s="132"/>
      <c r="E13" s="252"/>
      <c r="F13" s="252"/>
      <c r="G13" s="252"/>
      <c r="H13" s="252"/>
      <c r="I13" s="252"/>
      <c r="J13" s="252"/>
      <c r="K13" s="252"/>
    </row>
    <row r="14" spans="2:13" x14ac:dyDescent="0.25">
      <c r="B14" s="131"/>
      <c r="C14" s="175"/>
      <c r="D14" s="132" t="s">
        <v>965</v>
      </c>
      <c r="E14" s="253"/>
      <c r="F14" s="253"/>
      <c r="G14" s="253"/>
      <c r="H14" s="253"/>
      <c r="I14" s="253"/>
      <c r="J14" s="253"/>
      <c r="K14" s="253"/>
    </row>
    <row r="15" spans="2:13" x14ac:dyDescent="0.25">
      <c r="B15" s="131"/>
      <c r="C15" s="175"/>
      <c r="D15" s="132"/>
      <c r="E15" s="253"/>
      <c r="F15" s="253"/>
      <c r="G15" s="253"/>
      <c r="H15" s="253"/>
      <c r="I15" s="253"/>
      <c r="J15" s="253"/>
      <c r="K15" s="253"/>
    </row>
    <row r="16" spans="2:13" x14ac:dyDescent="0.25">
      <c r="B16" s="131"/>
      <c r="C16" s="175"/>
      <c r="D16" s="132" t="s">
        <v>956</v>
      </c>
      <c r="E16" s="253"/>
      <c r="F16" s="253"/>
      <c r="G16" s="253"/>
      <c r="H16" s="253"/>
      <c r="I16" s="253"/>
      <c r="J16" s="253"/>
      <c r="K16" s="253"/>
      <c r="M16" t="s">
        <v>1254</v>
      </c>
    </row>
    <row r="17" spans="2:11" ht="11.25" customHeight="1" x14ac:dyDescent="0.25">
      <c r="B17" s="131"/>
      <c r="C17" s="175"/>
      <c r="D17" s="132"/>
      <c r="E17" s="253"/>
      <c r="F17" s="253"/>
      <c r="G17" s="253"/>
      <c r="H17" s="253"/>
      <c r="I17" s="253"/>
      <c r="J17" s="253"/>
      <c r="K17" s="253"/>
    </row>
    <row r="18" spans="2:11" x14ac:dyDescent="0.25">
      <c r="B18" s="476" t="s">
        <v>973</v>
      </c>
      <c r="C18" s="477"/>
      <c r="D18" s="478"/>
      <c r="E18" s="276">
        <f>E20+E22+E24</f>
        <v>0</v>
      </c>
      <c r="F18" s="276">
        <f>F20+F22+F24</f>
        <v>0</v>
      </c>
      <c r="G18" s="276">
        <f>G20+G22+G24</f>
        <v>0</v>
      </c>
      <c r="H18" s="276">
        <f>H20+H22+H24</f>
        <v>0</v>
      </c>
      <c r="I18" s="276">
        <f>E18+F18-G18+H18</f>
        <v>0</v>
      </c>
      <c r="J18" s="276">
        <f>J20+J22+J24</f>
        <v>0</v>
      </c>
      <c r="K18" s="276">
        <f>K20+K22+K24</f>
        <v>0</v>
      </c>
    </row>
    <row r="19" spans="2:11" ht="12" customHeight="1" x14ac:dyDescent="0.25">
      <c r="B19" s="212"/>
      <c r="C19" s="213"/>
      <c r="D19" s="214"/>
      <c r="E19" s="252"/>
      <c r="F19" s="252"/>
      <c r="G19" s="252"/>
      <c r="H19" s="252"/>
      <c r="I19" s="252"/>
      <c r="J19" s="252"/>
      <c r="K19" s="252"/>
    </row>
    <row r="20" spans="2:11" x14ac:dyDescent="0.25">
      <c r="B20" s="212"/>
      <c r="C20" s="213"/>
      <c r="D20" s="132" t="s">
        <v>966</v>
      </c>
      <c r="E20" s="252"/>
      <c r="F20" s="252"/>
      <c r="G20" s="252"/>
      <c r="H20" s="252"/>
      <c r="I20" s="252"/>
      <c r="J20" s="252"/>
      <c r="K20" s="252"/>
    </row>
    <row r="21" spans="2:11" ht="12" customHeight="1" x14ac:dyDescent="0.25">
      <c r="B21" s="212"/>
      <c r="C21" s="213"/>
      <c r="D21" s="132"/>
      <c r="E21" s="252"/>
      <c r="F21" s="252"/>
      <c r="G21" s="252"/>
      <c r="H21" s="252"/>
      <c r="I21" s="252"/>
      <c r="J21" s="252"/>
      <c r="K21" s="252"/>
    </row>
    <row r="22" spans="2:11" x14ac:dyDescent="0.25">
      <c r="B22" s="131"/>
      <c r="C22" s="175"/>
      <c r="D22" s="132" t="s">
        <v>967</v>
      </c>
      <c r="E22" s="253"/>
      <c r="F22" s="253"/>
      <c r="G22" s="253"/>
      <c r="H22" s="253"/>
      <c r="I22" s="253"/>
      <c r="J22" s="253"/>
      <c r="K22" s="253"/>
    </row>
    <row r="23" spans="2:11" ht="11.25" customHeight="1" x14ac:dyDescent="0.25">
      <c r="B23" s="131"/>
      <c r="C23" s="175"/>
      <c r="D23" s="132"/>
      <c r="E23" s="253"/>
      <c r="F23" s="253"/>
      <c r="G23" s="253"/>
      <c r="H23" s="253"/>
      <c r="I23" s="253"/>
      <c r="J23" s="253"/>
      <c r="K23" s="253"/>
    </row>
    <row r="24" spans="2:11" x14ac:dyDescent="0.25">
      <c r="B24" s="131"/>
      <c r="C24" s="175"/>
      <c r="D24" s="132" t="s">
        <v>957</v>
      </c>
      <c r="E24" s="253"/>
      <c r="F24" s="253"/>
      <c r="G24" s="253"/>
      <c r="H24" s="253"/>
      <c r="I24" s="253"/>
      <c r="J24" s="253"/>
      <c r="K24" s="253"/>
    </row>
    <row r="25" spans="2:11" ht="11.25" customHeight="1" x14ac:dyDescent="0.25">
      <c r="B25" s="131"/>
      <c r="C25" s="175"/>
      <c r="D25" s="132"/>
      <c r="E25" s="253"/>
      <c r="F25" s="253"/>
      <c r="G25" s="253"/>
      <c r="H25" s="253"/>
      <c r="I25" s="253"/>
      <c r="J25" s="253"/>
      <c r="K25" s="253"/>
    </row>
    <row r="26" spans="2:11" x14ac:dyDescent="0.25">
      <c r="B26" s="476" t="s">
        <v>974</v>
      </c>
      <c r="C26" s="477"/>
      <c r="D26" s="478"/>
      <c r="E26" s="258">
        <f>BALANZA!G253</f>
        <v>10061261</v>
      </c>
      <c r="F26" s="351">
        <v>0</v>
      </c>
      <c r="G26" s="351">
        <v>0</v>
      </c>
      <c r="H26" s="276">
        <v>0</v>
      </c>
      <c r="I26" s="258">
        <v>141135</v>
      </c>
      <c r="J26" s="276">
        <v>0</v>
      </c>
      <c r="K26" s="276">
        <v>0</v>
      </c>
    </row>
    <row r="27" spans="2:11" x14ac:dyDescent="0.25">
      <c r="B27" s="131"/>
      <c r="C27" s="175"/>
      <c r="D27" s="132"/>
      <c r="E27" s="257"/>
      <c r="F27" s="297"/>
      <c r="G27" s="297"/>
      <c r="H27" s="276"/>
      <c r="I27" s="257"/>
      <c r="J27" s="276"/>
      <c r="K27" s="276"/>
    </row>
    <row r="28" spans="2:11" ht="23.25" customHeight="1" x14ac:dyDescent="0.25">
      <c r="B28" s="476" t="s">
        <v>975</v>
      </c>
      <c r="C28" s="477"/>
      <c r="D28" s="478"/>
      <c r="E28" s="258">
        <f>E9+E26</f>
        <v>10061261</v>
      </c>
      <c r="F28" s="351">
        <v>0</v>
      </c>
      <c r="G28" s="351">
        <v>0</v>
      </c>
      <c r="H28" s="276">
        <f>H9+H26</f>
        <v>0</v>
      </c>
      <c r="I28" s="258">
        <v>141135</v>
      </c>
      <c r="J28" s="276">
        <f>J9+J26</f>
        <v>0</v>
      </c>
      <c r="K28" s="276">
        <f>K9+K26</f>
        <v>0</v>
      </c>
    </row>
    <row r="29" spans="2:11" ht="9.75" customHeight="1" x14ac:dyDescent="0.25">
      <c r="B29" s="476"/>
      <c r="C29" s="477"/>
      <c r="D29" s="478"/>
      <c r="E29" s="252"/>
      <c r="F29" s="252"/>
      <c r="G29" s="252"/>
      <c r="H29" s="252"/>
      <c r="I29" s="252"/>
      <c r="J29" s="252"/>
      <c r="K29" s="252"/>
    </row>
    <row r="30" spans="2:11" ht="16.5" customHeight="1" x14ac:dyDescent="0.25">
      <c r="B30" s="476" t="s">
        <v>964</v>
      </c>
      <c r="C30" s="477"/>
      <c r="D30" s="478"/>
      <c r="E30" s="276">
        <v>0</v>
      </c>
      <c r="F30" s="276">
        <v>0</v>
      </c>
      <c r="G30" s="276">
        <v>0</v>
      </c>
      <c r="H30" s="276">
        <v>0</v>
      </c>
      <c r="I30" s="276">
        <v>0</v>
      </c>
      <c r="J30" s="276">
        <v>0</v>
      </c>
      <c r="K30" s="276">
        <v>0</v>
      </c>
    </row>
    <row r="31" spans="2:11" ht="10.5" customHeight="1" x14ac:dyDescent="0.25">
      <c r="B31" s="212"/>
      <c r="C31" s="213"/>
      <c r="D31" s="214"/>
      <c r="E31" s="254"/>
      <c r="F31" s="252"/>
      <c r="G31" s="252"/>
      <c r="H31" s="252"/>
      <c r="I31" s="252"/>
      <c r="J31" s="252"/>
      <c r="K31" s="252"/>
    </row>
    <row r="32" spans="2:11" ht="15" customHeight="1" x14ac:dyDescent="0.25">
      <c r="B32" s="123"/>
      <c r="C32" s="482" t="s">
        <v>958</v>
      </c>
      <c r="D32" s="444"/>
      <c r="E32" s="255"/>
      <c r="F32" s="251"/>
      <c r="G32" s="251"/>
      <c r="H32" s="251"/>
      <c r="I32" s="251"/>
      <c r="J32" s="251"/>
      <c r="K32" s="251"/>
    </row>
    <row r="33" spans="1:11" ht="11.25" customHeight="1" x14ac:dyDescent="0.25">
      <c r="A33" s="120"/>
      <c r="B33" s="123"/>
      <c r="C33" s="208"/>
      <c r="D33" s="215"/>
      <c r="E33" s="255"/>
      <c r="F33" s="251"/>
      <c r="G33" s="251"/>
      <c r="H33" s="251"/>
      <c r="I33" s="251"/>
      <c r="J33" s="251"/>
      <c r="K33" s="251"/>
    </row>
    <row r="34" spans="1:11" ht="15" customHeight="1" x14ac:dyDescent="0.25">
      <c r="A34" s="120"/>
      <c r="B34" s="123"/>
      <c r="C34" s="482" t="s">
        <v>959</v>
      </c>
      <c r="D34" s="444"/>
      <c r="E34" s="251"/>
      <c r="F34" s="251"/>
      <c r="G34" s="251"/>
      <c r="H34" s="251"/>
      <c r="I34" s="251"/>
      <c r="J34" s="251"/>
      <c r="K34" s="251"/>
    </row>
    <row r="35" spans="1:11" ht="12" customHeight="1" x14ac:dyDescent="0.25">
      <c r="A35" s="120"/>
      <c r="B35" s="123"/>
      <c r="C35" s="208"/>
      <c r="D35" s="215"/>
      <c r="E35" s="255"/>
      <c r="F35" s="251"/>
      <c r="G35" s="251"/>
      <c r="H35" s="251"/>
      <c r="I35" s="251"/>
      <c r="J35" s="251"/>
      <c r="K35" s="251"/>
    </row>
    <row r="36" spans="1:11" ht="15" customHeight="1" x14ac:dyDescent="0.25">
      <c r="A36" s="120"/>
      <c r="B36" s="123"/>
      <c r="C36" s="482" t="s">
        <v>960</v>
      </c>
      <c r="D36" s="444"/>
      <c r="E36" s="255"/>
      <c r="F36" s="251"/>
      <c r="G36" s="251"/>
      <c r="H36" s="251"/>
      <c r="I36" s="251"/>
      <c r="J36" s="251"/>
      <c r="K36" s="251"/>
    </row>
    <row r="37" spans="1:11" ht="12" customHeight="1" x14ac:dyDescent="0.25">
      <c r="B37" s="490"/>
      <c r="C37" s="491"/>
      <c r="D37" s="492"/>
      <c r="E37" s="251"/>
      <c r="F37" s="251"/>
      <c r="G37" s="251"/>
      <c r="H37" s="251"/>
      <c r="I37" s="251"/>
      <c r="J37" s="251"/>
      <c r="K37" s="251"/>
    </row>
    <row r="38" spans="1:11" ht="24.75" customHeight="1" x14ac:dyDescent="0.25">
      <c r="B38" s="476" t="s">
        <v>976</v>
      </c>
      <c r="C38" s="477"/>
      <c r="D38" s="478"/>
      <c r="E38" s="276">
        <v>0</v>
      </c>
      <c r="F38" s="276">
        <v>0</v>
      </c>
      <c r="G38" s="276">
        <v>0</v>
      </c>
      <c r="H38" s="276">
        <v>0</v>
      </c>
      <c r="I38" s="276">
        <v>0</v>
      </c>
      <c r="J38" s="276">
        <v>0</v>
      </c>
      <c r="K38" s="276">
        <v>0</v>
      </c>
    </row>
    <row r="39" spans="1:11" ht="13.5" customHeight="1" x14ac:dyDescent="0.25">
      <c r="A39" s="120"/>
      <c r="B39" s="212"/>
      <c r="C39" s="213"/>
      <c r="D39" s="214"/>
      <c r="E39" s="251"/>
      <c r="F39" s="251"/>
      <c r="G39" s="251"/>
      <c r="H39" s="251"/>
      <c r="I39" s="251"/>
      <c r="J39" s="251"/>
      <c r="K39" s="251"/>
    </row>
    <row r="40" spans="1:11" ht="21" customHeight="1" x14ac:dyDescent="0.25">
      <c r="A40" s="120"/>
      <c r="B40" s="123"/>
      <c r="C40" s="482" t="s">
        <v>961</v>
      </c>
      <c r="D40" s="444"/>
      <c r="E40" s="251"/>
      <c r="F40" s="251"/>
      <c r="G40" s="251"/>
      <c r="H40" s="251"/>
      <c r="I40" s="251"/>
      <c r="J40" s="251"/>
      <c r="K40" s="251"/>
    </row>
    <row r="41" spans="1:11" ht="12.75" customHeight="1" x14ac:dyDescent="0.25">
      <c r="A41" s="120"/>
      <c r="B41" s="123"/>
      <c r="C41" s="208"/>
      <c r="D41" s="215"/>
      <c r="E41" s="251"/>
      <c r="F41" s="251"/>
      <c r="G41" s="251"/>
      <c r="H41" s="251"/>
      <c r="I41" s="251"/>
      <c r="J41" s="251"/>
      <c r="K41" s="251"/>
    </row>
    <row r="42" spans="1:11" ht="15" customHeight="1" x14ac:dyDescent="0.25">
      <c r="A42" s="120"/>
      <c r="B42" s="123"/>
      <c r="C42" s="482" t="s">
        <v>962</v>
      </c>
      <c r="D42" s="444"/>
      <c r="E42" s="251"/>
      <c r="F42" s="251"/>
      <c r="G42" s="251"/>
      <c r="H42" s="251"/>
      <c r="I42" s="251"/>
      <c r="J42" s="251"/>
      <c r="K42" s="251"/>
    </row>
    <row r="43" spans="1:11" ht="13.5" customHeight="1" x14ac:dyDescent="0.25">
      <c r="A43" s="120"/>
      <c r="B43" s="123"/>
      <c r="C43" s="208"/>
      <c r="D43" s="215"/>
      <c r="E43" s="251"/>
      <c r="F43" s="251"/>
      <c r="G43" s="251"/>
      <c r="H43" s="251"/>
      <c r="I43" s="251"/>
      <c r="J43" s="251"/>
      <c r="K43" s="251"/>
    </row>
    <row r="44" spans="1:11" ht="20.25" customHeight="1" x14ac:dyDescent="0.25">
      <c r="A44" s="120"/>
      <c r="B44" s="123"/>
      <c r="C44" s="482" t="s">
        <v>963</v>
      </c>
      <c r="D44" s="444"/>
      <c r="E44" s="251"/>
      <c r="F44" s="251"/>
      <c r="G44" s="251"/>
      <c r="H44" s="251"/>
      <c r="I44" s="251"/>
      <c r="J44" s="251"/>
      <c r="K44" s="251"/>
    </row>
    <row r="45" spans="1:11" ht="15.75" thickBot="1" x14ac:dyDescent="0.3">
      <c r="B45" s="479"/>
      <c r="C45" s="480"/>
      <c r="D45" s="481"/>
      <c r="E45" s="256"/>
      <c r="F45" s="256"/>
      <c r="G45" s="256"/>
      <c r="H45" s="256"/>
      <c r="I45" s="256"/>
      <c r="J45" s="256"/>
      <c r="K45" s="256"/>
    </row>
    <row r="46" spans="1:11" ht="15.75" thickBot="1" x14ac:dyDescent="0.3"/>
    <row r="47" spans="1:11" ht="22.5" x14ac:dyDescent="0.25">
      <c r="D47" s="484" t="s">
        <v>979</v>
      </c>
      <c r="E47" s="359" t="s">
        <v>1256</v>
      </c>
      <c r="F47" s="359" t="s">
        <v>980</v>
      </c>
      <c r="G47" s="359" t="s">
        <v>983</v>
      </c>
      <c r="H47" s="487" t="s">
        <v>985</v>
      </c>
      <c r="I47" s="359" t="s">
        <v>986</v>
      </c>
    </row>
    <row r="48" spans="1:11" x14ac:dyDescent="0.25">
      <c r="D48" s="485"/>
      <c r="E48" s="355" t="s">
        <v>1257</v>
      </c>
      <c r="F48" s="355" t="s">
        <v>981</v>
      </c>
      <c r="G48" s="355" t="s">
        <v>984</v>
      </c>
      <c r="H48" s="488"/>
      <c r="I48" s="355" t="s">
        <v>987</v>
      </c>
    </row>
    <row r="49" spans="2:11" ht="15.75" thickBot="1" x14ac:dyDescent="0.3">
      <c r="D49" s="486"/>
      <c r="E49" s="360"/>
      <c r="F49" s="356" t="s">
        <v>982</v>
      </c>
      <c r="G49" s="361"/>
      <c r="H49" s="489"/>
      <c r="I49" s="361"/>
    </row>
    <row r="50" spans="2:11" ht="22.5" x14ac:dyDescent="0.25">
      <c r="D50" s="135" t="s">
        <v>988</v>
      </c>
      <c r="E50" s="315">
        <v>0</v>
      </c>
      <c r="F50" s="315">
        <v>0</v>
      </c>
      <c r="G50" s="315">
        <v>0</v>
      </c>
      <c r="H50" s="315">
        <v>0</v>
      </c>
      <c r="I50" s="315">
        <v>0</v>
      </c>
    </row>
    <row r="51" spans="2:11" x14ac:dyDescent="0.25">
      <c r="D51" s="135"/>
      <c r="E51" s="259"/>
      <c r="F51" s="259"/>
      <c r="G51" s="259"/>
      <c r="H51" s="259"/>
      <c r="I51" s="259"/>
    </row>
    <row r="52" spans="2:11" x14ac:dyDescent="0.25">
      <c r="D52" s="136" t="s">
        <v>989</v>
      </c>
      <c r="E52" s="259"/>
      <c r="F52" s="259"/>
      <c r="G52" s="259"/>
      <c r="H52" s="259"/>
      <c r="I52" s="259"/>
    </row>
    <row r="53" spans="2:11" x14ac:dyDescent="0.25">
      <c r="D53" s="136"/>
      <c r="E53" s="259"/>
      <c r="F53" s="259"/>
      <c r="G53" s="259"/>
      <c r="H53" s="259"/>
      <c r="I53" s="259"/>
    </row>
    <row r="54" spans="2:11" x14ac:dyDescent="0.25">
      <c r="D54" s="136" t="s">
        <v>990</v>
      </c>
      <c r="E54" s="259"/>
      <c r="F54" s="259"/>
      <c r="G54" s="259"/>
      <c r="H54" s="259"/>
      <c r="I54" s="259"/>
    </row>
    <row r="55" spans="2:11" x14ac:dyDescent="0.25">
      <c r="D55" s="136"/>
      <c r="E55" s="259"/>
      <c r="F55" s="259"/>
      <c r="G55" s="259"/>
      <c r="H55" s="259"/>
      <c r="I55" s="259"/>
    </row>
    <row r="56" spans="2:11" ht="15.75" thickBot="1" x14ac:dyDescent="0.3">
      <c r="D56" s="137" t="s">
        <v>991</v>
      </c>
      <c r="E56" s="260"/>
      <c r="F56" s="260"/>
      <c r="G56" s="260"/>
      <c r="H56" s="260"/>
      <c r="I56" s="260"/>
    </row>
    <row r="60" spans="2:11" x14ac:dyDescent="0.25">
      <c r="D60" s="483" t="s">
        <v>1292</v>
      </c>
      <c r="E60" s="483"/>
      <c r="F60" s="483"/>
      <c r="H60" s="483" t="s">
        <v>1294</v>
      </c>
      <c r="I60" s="483"/>
      <c r="J60" s="483"/>
    </row>
    <row r="61" spans="2:11" x14ac:dyDescent="0.25">
      <c r="D61" s="483" t="s">
        <v>1293</v>
      </c>
      <c r="E61" s="483"/>
      <c r="F61" s="483"/>
      <c r="H61" s="483" t="s">
        <v>1295</v>
      </c>
      <c r="I61" s="483"/>
      <c r="J61" s="483"/>
    </row>
    <row r="64" spans="2:11" ht="36.75" customHeight="1" x14ac:dyDescent="0.25">
      <c r="B64" s="134">
        <v>1</v>
      </c>
      <c r="C64" s="134"/>
      <c r="D64" s="475" t="s">
        <v>978</v>
      </c>
      <c r="E64" s="475"/>
      <c r="F64" s="475"/>
      <c r="G64" s="475"/>
      <c r="H64" s="475"/>
      <c r="I64" s="475"/>
      <c r="J64" s="475"/>
      <c r="K64" s="475"/>
    </row>
    <row r="65" spans="2:11" ht="21.75" customHeight="1" x14ac:dyDescent="0.25">
      <c r="B65">
        <v>2</v>
      </c>
      <c r="D65" s="475" t="s">
        <v>1253</v>
      </c>
      <c r="E65" s="475"/>
      <c r="F65" s="475"/>
      <c r="G65" s="475"/>
      <c r="H65" s="475"/>
      <c r="I65" s="475"/>
      <c r="J65" s="475"/>
      <c r="K65" s="475"/>
    </row>
  </sheetData>
  <mergeCells count="35"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D65:K65"/>
    <mergeCell ref="B38:D38"/>
    <mergeCell ref="B45:D45"/>
    <mergeCell ref="D64:K64"/>
    <mergeCell ref="C40:D40"/>
    <mergeCell ref="C42:D42"/>
    <mergeCell ref="C44:D44"/>
    <mergeCell ref="D60:F60"/>
    <mergeCell ref="D61:F61"/>
    <mergeCell ref="H60:J60"/>
    <mergeCell ref="H61:J61"/>
    <mergeCell ref="D47:D49"/>
    <mergeCell ref="H47:H49"/>
  </mergeCells>
  <printOptions horizontalCentered="1"/>
  <pageMargins left="0" right="0" top="0" bottom="0" header="0" footer="0"/>
  <pageSetup scale="75" orientation="portrait" horizontalDpi="4294967293" r:id="rId1"/>
  <ignoredErrors>
    <ignoredError sqref="I9:I10 I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80" zoomScaleNormal="80" workbookViewId="0">
      <selection activeCell="B5" sqref="B5:M5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1304</v>
      </c>
    </row>
    <row r="2" spans="1:13" x14ac:dyDescent="0.25">
      <c r="B2" s="508" t="s">
        <v>697</v>
      </c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10"/>
    </row>
    <row r="3" spans="1:13" ht="15.75" customHeight="1" x14ac:dyDescent="0.25">
      <c r="B3" s="450" t="s">
        <v>992</v>
      </c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2"/>
    </row>
    <row r="4" spans="1:13" ht="15.75" customHeight="1" thickBot="1" x14ac:dyDescent="0.3">
      <c r="B4" s="453" t="s">
        <v>1308</v>
      </c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5"/>
    </row>
    <row r="5" spans="1:13" ht="15.75" thickBot="1" x14ac:dyDescent="0.3">
      <c r="B5" s="511"/>
      <c r="C5" s="512"/>
      <c r="D5" s="512"/>
      <c r="E5" s="512"/>
      <c r="F5" s="512"/>
      <c r="G5" s="512"/>
      <c r="H5" s="512"/>
      <c r="I5" s="512"/>
      <c r="J5" s="512"/>
      <c r="K5" s="512"/>
      <c r="L5" s="512"/>
      <c r="M5" s="513"/>
    </row>
    <row r="6" spans="1:13" ht="79.5" customHeight="1" thickBot="1" x14ac:dyDescent="0.3">
      <c r="B6" s="515" t="s">
        <v>993</v>
      </c>
      <c r="C6" s="516"/>
      <c r="D6" s="362" t="s">
        <v>994</v>
      </c>
      <c r="E6" s="362" t="s">
        <v>995</v>
      </c>
      <c r="F6" s="362" t="s">
        <v>996</v>
      </c>
      <c r="G6" s="362" t="s">
        <v>997</v>
      </c>
      <c r="H6" s="362" t="s">
        <v>998</v>
      </c>
      <c r="I6" s="362" t="s">
        <v>999</v>
      </c>
      <c r="J6" s="362" t="s">
        <v>1000</v>
      </c>
      <c r="K6" s="362" t="s">
        <v>1001</v>
      </c>
      <c r="L6" s="362" t="s">
        <v>1002</v>
      </c>
      <c r="M6" s="362" t="s">
        <v>1003</v>
      </c>
    </row>
    <row r="7" spans="1:13" ht="10.5" customHeight="1" x14ac:dyDescent="0.25">
      <c r="A7" s="120"/>
      <c r="B7" s="123"/>
      <c r="C7" s="214"/>
      <c r="D7" s="211"/>
      <c r="E7" s="211"/>
      <c r="F7" s="211"/>
      <c r="G7" s="211"/>
      <c r="H7" s="211"/>
      <c r="I7" s="211"/>
      <c r="J7" s="211"/>
      <c r="K7" s="211"/>
      <c r="L7" s="211"/>
      <c r="M7" s="211"/>
    </row>
    <row r="8" spans="1:13" ht="17.25" customHeight="1" x14ac:dyDescent="0.25">
      <c r="A8" s="120"/>
      <c r="B8" s="517" t="s">
        <v>1004</v>
      </c>
      <c r="C8" s="518"/>
      <c r="D8" s="276"/>
      <c r="E8" s="276"/>
      <c r="F8" s="276"/>
      <c r="G8" s="276">
        <f>G10+G12+G14+G16</f>
        <v>0</v>
      </c>
      <c r="H8" s="276"/>
      <c r="I8" s="276">
        <f t="shared" ref="I8:L8" si="0">I10+I12+I14+I16</f>
        <v>0</v>
      </c>
      <c r="J8" s="276">
        <f>J10+J12+J14+J16</f>
        <v>0</v>
      </c>
      <c r="K8" s="276">
        <f t="shared" si="0"/>
        <v>0</v>
      </c>
      <c r="L8" s="276">
        <f t="shared" si="0"/>
        <v>0</v>
      </c>
      <c r="M8" s="276">
        <f>G8-L8</f>
        <v>0</v>
      </c>
    </row>
    <row r="9" spans="1:13" ht="12.75" customHeight="1" x14ac:dyDescent="0.25">
      <c r="A9" s="120"/>
      <c r="B9" s="261"/>
      <c r="C9" s="217"/>
      <c r="D9" s="276"/>
      <c r="E9" s="276"/>
      <c r="F9" s="276"/>
      <c r="G9" s="276"/>
      <c r="H9" s="276"/>
      <c r="I9" s="276"/>
      <c r="J9" s="276"/>
      <c r="K9" s="276"/>
      <c r="L9" s="276"/>
      <c r="M9" s="276"/>
    </row>
    <row r="10" spans="1:13" x14ac:dyDescent="0.25">
      <c r="A10" s="120"/>
      <c r="B10" s="123"/>
      <c r="C10" s="167" t="s">
        <v>1005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</row>
    <row r="11" spans="1:13" ht="12" customHeight="1" x14ac:dyDescent="0.25">
      <c r="A11" s="120"/>
      <c r="B11" s="123"/>
      <c r="C11" s="167"/>
      <c r="D11" s="276"/>
      <c r="E11" s="276"/>
      <c r="F11" s="276"/>
      <c r="G11" s="276"/>
      <c r="H11" s="276"/>
      <c r="I11" s="276"/>
      <c r="J11" s="276"/>
      <c r="K11" s="276"/>
      <c r="L11" s="276"/>
      <c r="M11" s="276"/>
    </row>
    <row r="12" spans="1:13" x14ac:dyDescent="0.25">
      <c r="A12" s="120"/>
      <c r="B12" s="123"/>
      <c r="C12" s="167" t="s">
        <v>1006</v>
      </c>
      <c r="D12" s="276"/>
      <c r="E12" s="276"/>
      <c r="F12" s="276"/>
      <c r="G12" s="276"/>
      <c r="H12" s="276"/>
      <c r="I12" s="276"/>
      <c r="J12" s="276"/>
      <c r="K12" s="276"/>
      <c r="L12" s="276"/>
      <c r="M12" s="276"/>
    </row>
    <row r="13" spans="1:13" ht="10.5" customHeight="1" x14ac:dyDescent="0.25">
      <c r="A13" s="120"/>
      <c r="B13" s="123"/>
      <c r="C13" s="167"/>
      <c r="D13" s="276"/>
      <c r="E13" s="276"/>
      <c r="F13" s="276"/>
      <c r="G13" s="276"/>
      <c r="H13" s="276"/>
      <c r="I13" s="276"/>
      <c r="J13" s="276"/>
      <c r="K13" s="276"/>
      <c r="L13" s="276"/>
      <c r="M13" s="276"/>
    </row>
    <row r="14" spans="1:13" x14ac:dyDescent="0.25">
      <c r="A14" s="120"/>
      <c r="B14" s="123"/>
      <c r="C14" s="167" t="s">
        <v>1007</v>
      </c>
      <c r="D14" s="276"/>
      <c r="E14" s="276"/>
      <c r="F14" s="276"/>
      <c r="G14" s="276"/>
      <c r="H14" s="276"/>
      <c r="I14" s="276"/>
      <c r="J14" s="276"/>
      <c r="K14" s="276"/>
      <c r="L14" s="276"/>
      <c r="M14" s="276"/>
    </row>
    <row r="15" spans="1:13" ht="11.25" customHeight="1" x14ac:dyDescent="0.25">
      <c r="A15" s="120"/>
      <c r="B15" s="123"/>
      <c r="C15" s="167"/>
      <c r="D15" s="276"/>
      <c r="E15" s="276"/>
      <c r="F15" s="276"/>
      <c r="G15" s="276"/>
      <c r="H15" s="276"/>
      <c r="I15" s="276"/>
      <c r="J15" s="276"/>
      <c r="K15" s="276"/>
      <c r="L15" s="276"/>
      <c r="M15" s="276"/>
    </row>
    <row r="16" spans="1:13" x14ac:dyDescent="0.25">
      <c r="A16" s="120"/>
      <c r="B16" s="123"/>
      <c r="C16" s="167" t="s">
        <v>1008</v>
      </c>
      <c r="D16" s="276"/>
      <c r="E16" s="276"/>
      <c r="F16" s="276"/>
      <c r="G16" s="276"/>
      <c r="H16" s="276"/>
      <c r="I16" s="276"/>
      <c r="J16" s="276"/>
      <c r="K16" s="276"/>
      <c r="L16" s="276"/>
      <c r="M16" s="276"/>
    </row>
    <row r="17" spans="1:13" x14ac:dyDescent="0.25">
      <c r="A17" s="120"/>
      <c r="B17" s="123"/>
      <c r="C17" s="215"/>
      <c r="D17" s="276"/>
      <c r="E17" s="276"/>
      <c r="F17" s="276"/>
      <c r="G17" s="276"/>
      <c r="H17" s="276"/>
      <c r="I17" s="276"/>
      <c r="J17" s="276"/>
      <c r="K17" s="276"/>
      <c r="L17" s="276"/>
      <c r="M17" s="276"/>
    </row>
    <row r="18" spans="1:13" x14ac:dyDescent="0.25">
      <c r="A18" s="120"/>
      <c r="B18" s="426" t="s">
        <v>1009</v>
      </c>
      <c r="C18" s="460"/>
      <c r="D18" s="276"/>
      <c r="E18" s="276"/>
      <c r="F18" s="276"/>
      <c r="G18" s="276">
        <f t="shared" ref="G18:L18" si="1">G20+G22+G24+G26</f>
        <v>0</v>
      </c>
      <c r="H18" s="276"/>
      <c r="I18" s="276">
        <f t="shared" si="1"/>
        <v>0</v>
      </c>
      <c r="J18" s="276">
        <f t="shared" si="1"/>
        <v>0</v>
      </c>
      <c r="K18" s="276">
        <f t="shared" si="1"/>
        <v>0</v>
      </c>
      <c r="L18" s="276">
        <f t="shared" si="1"/>
        <v>0</v>
      </c>
      <c r="M18" s="276">
        <f>G18-L18</f>
        <v>0</v>
      </c>
    </row>
    <row r="19" spans="1:13" ht="10.5" customHeight="1" x14ac:dyDescent="0.25">
      <c r="A19" s="120"/>
      <c r="B19" s="209"/>
      <c r="C19" s="210"/>
      <c r="D19" s="276"/>
      <c r="E19" s="276"/>
      <c r="F19" s="276"/>
      <c r="G19" s="276"/>
      <c r="H19" s="276"/>
      <c r="I19" s="276"/>
      <c r="J19" s="276"/>
      <c r="K19" s="276"/>
      <c r="L19" s="276"/>
      <c r="M19" s="276"/>
    </row>
    <row r="20" spans="1:13" x14ac:dyDescent="0.25">
      <c r="A20" s="120"/>
      <c r="B20" s="123"/>
      <c r="C20" s="167" t="s">
        <v>1010</v>
      </c>
      <c r="D20" s="276"/>
      <c r="E20" s="276"/>
      <c r="F20" s="276"/>
      <c r="G20" s="276"/>
      <c r="H20" s="276"/>
      <c r="I20" s="276"/>
      <c r="J20" s="276"/>
      <c r="K20" s="276"/>
      <c r="L20" s="276"/>
      <c r="M20" s="276"/>
    </row>
    <row r="21" spans="1:13" ht="11.25" customHeight="1" x14ac:dyDescent="0.25">
      <c r="A21" s="120"/>
      <c r="B21" s="123"/>
      <c r="C21" s="167"/>
      <c r="D21" s="276"/>
      <c r="E21" s="276"/>
      <c r="F21" s="276"/>
      <c r="G21" s="276"/>
      <c r="H21" s="276"/>
      <c r="I21" s="276"/>
      <c r="J21" s="276"/>
      <c r="K21" s="276"/>
      <c r="L21" s="276"/>
      <c r="M21" s="276"/>
    </row>
    <row r="22" spans="1:13" x14ac:dyDescent="0.25">
      <c r="A22" s="120"/>
      <c r="B22" s="123"/>
      <c r="C22" s="167" t="s">
        <v>1011</v>
      </c>
      <c r="D22" s="276"/>
      <c r="E22" s="276"/>
      <c r="F22" s="276"/>
      <c r="G22" s="276"/>
      <c r="H22" s="276"/>
      <c r="I22" s="276"/>
      <c r="J22" s="276"/>
      <c r="K22" s="276"/>
      <c r="L22" s="276"/>
      <c r="M22" s="276"/>
    </row>
    <row r="23" spans="1:13" ht="13.5" customHeight="1" x14ac:dyDescent="0.25">
      <c r="A23" s="120"/>
      <c r="B23" s="123"/>
      <c r="C23" s="167"/>
      <c r="D23" s="276"/>
      <c r="E23" s="276"/>
      <c r="F23" s="276"/>
      <c r="G23" s="276"/>
      <c r="H23" s="276"/>
      <c r="I23" s="276"/>
      <c r="J23" s="276"/>
      <c r="K23" s="276"/>
      <c r="L23" s="276"/>
      <c r="M23" s="276"/>
    </row>
    <row r="24" spans="1:13" x14ac:dyDescent="0.25">
      <c r="A24" s="120"/>
      <c r="B24" s="123"/>
      <c r="C24" s="167" t="s">
        <v>1012</v>
      </c>
      <c r="D24" s="276"/>
      <c r="E24" s="276"/>
      <c r="F24" s="276"/>
      <c r="G24" s="276"/>
      <c r="H24" s="276"/>
      <c r="I24" s="276"/>
      <c r="J24" s="276"/>
      <c r="K24" s="276"/>
      <c r="L24" s="276"/>
      <c r="M24" s="276"/>
    </row>
    <row r="25" spans="1:13" ht="11.25" customHeight="1" x14ac:dyDescent="0.25">
      <c r="A25" s="120"/>
      <c r="B25" s="123"/>
      <c r="C25" s="167"/>
      <c r="D25" s="276"/>
      <c r="E25" s="276"/>
      <c r="F25" s="276"/>
      <c r="G25" s="276"/>
      <c r="H25" s="276"/>
      <c r="I25" s="276"/>
      <c r="J25" s="276"/>
      <c r="K25" s="276"/>
      <c r="L25" s="276"/>
      <c r="M25" s="276"/>
    </row>
    <row r="26" spans="1:13" x14ac:dyDescent="0.25">
      <c r="A26" s="120"/>
      <c r="B26" s="123"/>
      <c r="C26" s="167" t="s">
        <v>1013</v>
      </c>
      <c r="D26" s="276"/>
      <c r="E26" s="276"/>
      <c r="F26" s="276"/>
      <c r="G26" s="276"/>
      <c r="H26" s="276"/>
      <c r="I26" s="276"/>
      <c r="J26" s="276"/>
      <c r="K26" s="276"/>
      <c r="L26" s="276"/>
      <c r="M26" s="276"/>
    </row>
    <row r="27" spans="1:13" x14ac:dyDescent="0.25">
      <c r="A27" s="120"/>
      <c r="B27" s="123"/>
      <c r="C27" s="215"/>
      <c r="D27" s="276"/>
      <c r="E27" s="276"/>
      <c r="F27" s="276"/>
      <c r="G27" s="276"/>
      <c r="H27" s="276"/>
      <c r="I27" s="276"/>
      <c r="J27" s="276"/>
      <c r="K27" s="276"/>
      <c r="L27" s="276"/>
      <c r="M27" s="276"/>
    </row>
    <row r="28" spans="1:13" ht="21.75" customHeight="1" x14ac:dyDescent="0.25">
      <c r="A28" s="120"/>
      <c r="B28" s="517" t="s">
        <v>1014</v>
      </c>
      <c r="C28" s="518"/>
      <c r="D28" s="276"/>
      <c r="E28" s="276"/>
      <c r="F28" s="276"/>
      <c r="G28" s="276">
        <f t="shared" ref="G28:L28" si="2">G8+G18</f>
        <v>0</v>
      </c>
      <c r="H28" s="276"/>
      <c r="I28" s="276">
        <f t="shared" si="2"/>
        <v>0</v>
      </c>
      <c r="J28" s="276">
        <f t="shared" si="2"/>
        <v>0</v>
      </c>
      <c r="K28" s="276">
        <f t="shared" si="2"/>
        <v>0</v>
      </c>
      <c r="L28" s="276">
        <f t="shared" si="2"/>
        <v>0</v>
      </c>
      <c r="M28" s="276">
        <f>G28-L28</f>
        <v>0</v>
      </c>
    </row>
    <row r="29" spans="1:13" ht="15.75" thickBot="1" x14ac:dyDescent="0.3">
      <c r="A29" s="120"/>
      <c r="B29" s="125"/>
      <c r="C29" s="176"/>
      <c r="D29" s="139"/>
      <c r="E29" s="139"/>
      <c r="F29" s="139"/>
      <c r="G29" s="139"/>
      <c r="H29" s="139"/>
      <c r="I29" s="139"/>
      <c r="J29" s="139"/>
      <c r="K29" s="139"/>
      <c r="L29" s="139"/>
      <c r="M29" s="139"/>
    </row>
    <row r="30" spans="1:13" x14ac:dyDescent="0.25">
      <c r="B30" s="121"/>
    </row>
    <row r="33" spans="4:11" x14ac:dyDescent="0.25">
      <c r="D33" s="514" t="s">
        <v>1292</v>
      </c>
      <c r="E33" s="514"/>
      <c r="F33" s="514"/>
      <c r="G33" s="514"/>
      <c r="H33" s="304"/>
      <c r="I33" s="514" t="s">
        <v>1294</v>
      </c>
      <c r="J33" s="514"/>
      <c r="K33" s="514"/>
    </row>
    <row r="34" spans="4:11" x14ac:dyDescent="0.25">
      <c r="D34" s="514" t="s">
        <v>1293</v>
      </c>
      <c r="E34" s="514"/>
      <c r="F34" s="514"/>
      <c r="G34" s="514"/>
      <c r="H34" s="304"/>
      <c r="I34" s="514" t="s">
        <v>1295</v>
      </c>
      <c r="J34" s="514"/>
      <c r="K34" s="514"/>
    </row>
  </sheetData>
  <mergeCells count="12">
    <mergeCell ref="I34:K34"/>
    <mergeCell ref="D33:G33"/>
    <mergeCell ref="D34:G34"/>
    <mergeCell ref="B6:C6"/>
    <mergeCell ref="B8:C8"/>
    <mergeCell ref="B18:C18"/>
    <mergeCell ref="B28:C28"/>
    <mergeCell ref="B2:M2"/>
    <mergeCell ref="B3:M3"/>
    <mergeCell ref="B4:M4"/>
    <mergeCell ref="B5:M5"/>
    <mergeCell ref="I33:K33"/>
  </mergeCells>
  <printOptions horizontalCentered="1"/>
  <pageMargins left="0" right="0" top="0" bottom="0" header="0" footer="0"/>
  <pageSetup scale="70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5"/>
  <sheetViews>
    <sheetView zoomScale="106" zoomScaleNormal="106" workbookViewId="0">
      <selection activeCell="F59" sqref="F59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</cols>
  <sheetData>
    <row r="1" spans="2:7" ht="15.75" thickBot="1" x14ac:dyDescent="0.3">
      <c r="B1" s="550" t="s">
        <v>1052</v>
      </c>
      <c r="C1" s="550"/>
      <c r="D1" s="550"/>
      <c r="E1" s="550"/>
      <c r="F1" s="550"/>
      <c r="G1" s="550"/>
    </row>
    <row r="2" spans="2:7" ht="9.9499999999999993" customHeight="1" x14ac:dyDescent="0.25">
      <c r="B2" s="551" t="s">
        <v>697</v>
      </c>
      <c r="C2" s="552"/>
      <c r="D2" s="552"/>
      <c r="E2" s="552"/>
      <c r="F2" s="552"/>
      <c r="G2" s="553"/>
    </row>
    <row r="3" spans="2:7" ht="9.9499999999999993" customHeight="1" x14ac:dyDescent="0.25">
      <c r="B3" s="554" t="s">
        <v>1051</v>
      </c>
      <c r="C3" s="555"/>
      <c r="D3" s="555"/>
      <c r="E3" s="555"/>
      <c r="F3" s="555"/>
      <c r="G3" s="556"/>
    </row>
    <row r="4" spans="2:7" ht="9.9499999999999993" customHeight="1" x14ac:dyDescent="0.25">
      <c r="B4" s="554" t="s">
        <v>1308</v>
      </c>
      <c r="C4" s="555"/>
      <c r="D4" s="555"/>
      <c r="E4" s="555"/>
      <c r="F4" s="555"/>
      <c r="G4" s="556"/>
    </row>
    <row r="5" spans="2:7" ht="9.9499999999999993" customHeight="1" thickBot="1" x14ac:dyDescent="0.3">
      <c r="B5" s="519" t="s">
        <v>949</v>
      </c>
      <c r="C5" s="520"/>
      <c r="D5" s="520"/>
      <c r="E5" s="520"/>
      <c r="F5" s="520"/>
      <c r="G5" s="521"/>
    </row>
    <row r="6" spans="2:7" ht="15.75" thickBot="1" x14ac:dyDescent="0.3">
      <c r="B6" s="161"/>
      <c r="C6" s="161"/>
      <c r="D6" s="130"/>
      <c r="E6" s="130"/>
      <c r="F6" s="130"/>
      <c r="G6" s="130"/>
    </row>
    <row r="7" spans="2:7" x14ac:dyDescent="0.25">
      <c r="B7" s="535" t="s">
        <v>849</v>
      </c>
      <c r="C7" s="536"/>
      <c r="D7" s="537"/>
      <c r="E7" s="128" t="s">
        <v>1033</v>
      </c>
      <c r="F7" s="541" t="s">
        <v>685</v>
      </c>
      <c r="G7" s="128" t="s">
        <v>1023</v>
      </c>
    </row>
    <row r="8" spans="2:7" ht="15.75" thickBot="1" x14ac:dyDescent="0.3">
      <c r="B8" s="538"/>
      <c r="C8" s="539"/>
      <c r="D8" s="540"/>
      <c r="E8" s="129" t="s">
        <v>1050</v>
      </c>
      <c r="F8" s="542"/>
      <c r="G8" s="129" t="s">
        <v>1049</v>
      </c>
    </row>
    <row r="9" spans="2:7" x14ac:dyDescent="0.25">
      <c r="B9" s="162"/>
      <c r="C9" s="119"/>
      <c r="D9" s="163"/>
      <c r="E9" s="190"/>
      <c r="F9" s="190"/>
      <c r="G9" s="190"/>
    </row>
    <row r="10" spans="2:7" ht="15" customHeight="1" x14ac:dyDescent="0.25">
      <c r="B10" s="162"/>
      <c r="C10" s="427" t="s">
        <v>1048</v>
      </c>
      <c r="D10" s="460"/>
      <c r="E10" s="277">
        <f>E11+E12+E13</f>
        <v>19818332</v>
      </c>
      <c r="F10" s="277">
        <f>F11+F12+F13</f>
        <v>27609510</v>
      </c>
      <c r="G10" s="277">
        <f>G11+G12+G13</f>
        <v>27609510</v>
      </c>
    </row>
    <row r="11" spans="2:7" x14ac:dyDescent="0.25">
      <c r="B11" s="162"/>
      <c r="C11" s="119"/>
      <c r="D11" s="164" t="s">
        <v>1047</v>
      </c>
      <c r="E11" s="218">
        <v>19818332</v>
      </c>
      <c r="F11" s="218">
        <v>27609510</v>
      </c>
      <c r="G11" s="218">
        <f>BALANZA!V408</f>
        <v>27609510</v>
      </c>
    </row>
    <row r="12" spans="2:7" x14ac:dyDescent="0.25">
      <c r="B12" s="162"/>
      <c r="C12" s="119"/>
      <c r="D12" s="164" t="s">
        <v>1022</v>
      </c>
      <c r="E12" s="278">
        <v>0</v>
      </c>
      <c r="F12" s="278">
        <v>0</v>
      </c>
      <c r="G12" s="278">
        <v>0</v>
      </c>
    </row>
    <row r="13" spans="2:7" x14ac:dyDescent="0.25">
      <c r="B13" s="162"/>
      <c r="C13" s="119"/>
      <c r="D13" s="164" t="s">
        <v>1046</v>
      </c>
      <c r="E13" s="278">
        <v>0</v>
      </c>
      <c r="F13" s="278">
        <v>0</v>
      </c>
      <c r="G13" s="278">
        <v>0</v>
      </c>
    </row>
    <row r="14" spans="2:7" x14ac:dyDescent="0.25">
      <c r="B14" s="162"/>
      <c r="C14" s="119"/>
      <c r="D14" s="163"/>
      <c r="E14" s="218"/>
      <c r="F14" s="218"/>
      <c r="G14" s="218"/>
    </row>
    <row r="15" spans="2:7" ht="15" customHeight="1" x14ac:dyDescent="0.25">
      <c r="B15" s="133"/>
      <c r="C15" s="427" t="s">
        <v>1252</v>
      </c>
      <c r="D15" s="460"/>
      <c r="E15" s="277">
        <f>E16+E17</f>
        <v>19818332</v>
      </c>
      <c r="F15" s="277">
        <f>F16+F17</f>
        <v>18110852</v>
      </c>
      <c r="G15" s="277">
        <f>G16+G17</f>
        <v>18110852</v>
      </c>
    </row>
    <row r="16" spans="2:7" x14ac:dyDescent="0.25">
      <c r="B16" s="162"/>
      <c r="C16" s="119"/>
      <c r="D16" s="164" t="s">
        <v>1028</v>
      </c>
      <c r="E16" s="218">
        <v>19818332</v>
      </c>
      <c r="F16" s="218">
        <v>18110852</v>
      </c>
      <c r="G16" s="218">
        <v>18110852</v>
      </c>
    </row>
    <row r="17" spans="2:7" x14ac:dyDescent="0.25">
      <c r="B17" s="162"/>
      <c r="C17" s="119"/>
      <c r="D17" s="164" t="s">
        <v>1045</v>
      </c>
      <c r="E17" s="278">
        <v>0</v>
      </c>
      <c r="F17" s="278">
        <v>0</v>
      </c>
      <c r="G17" s="278">
        <v>0</v>
      </c>
    </row>
    <row r="18" spans="2:7" x14ac:dyDescent="0.25">
      <c r="B18" s="162"/>
      <c r="C18" s="119"/>
      <c r="D18" s="163"/>
      <c r="E18" s="218"/>
      <c r="F18" s="218"/>
      <c r="G18" s="218"/>
    </row>
    <row r="19" spans="2:7" ht="15" customHeight="1" x14ac:dyDescent="0.25">
      <c r="B19" s="162"/>
      <c r="C19" s="427" t="s">
        <v>1044</v>
      </c>
      <c r="D19" s="460"/>
      <c r="E19" s="278">
        <f>E20+E21</f>
        <v>0</v>
      </c>
      <c r="F19" s="278">
        <f>F20+F21</f>
        <v>0</v>
      </c>
      <c r="G19" s="278">
        <f>G20+G21</f>
        <v>0</v>
      </c>
    </row>
    <row r="20" spans="2:7" x14ac:dyDescent="0.25">
      <c r="B20" s="162"/>
      <c r="C20" s="119"/>
      <c r="D20" s="164" t="s">
        <v>1027</v>
      </c>
      <c r="E20" s="218"/>
      <c r="F20" s="218"/>
      <c r="G20" s="218"/>
    </row>
    <row r="21" spans="2:7" x14ac:dyDescent="0.25">
      <c r="B21" s="162"/>
      <c r="C21" s="119"/>
      <c r="D21" s="164" t="s">
        <v>1017</v>
      </c>
      <c r="E21" s="218"/>
      <c r="F21" s="218"/>
      <c r="G21" s="218"/>
    </row>
    <row r="22" spans="2:7" x14ac:dyDescent="0.25">
      <c r="B22" s="162"/>
      <c r="C22" s="119"/>
      <c r="D22" s="163"/>
      <c r="E22" s="218"/>
      <c r="F22" s="218"/>
      <c r="G22" s="218"/>
    </row>
    <row r="23" spans="2:7" ht="15" customHeight="1" x14ac:dyDescent="0.25">
      <c r="B23" s="162"/>
      <c r="C23" s="427" t="s">
        <v>1043</v>
      </c>
      <c r="D23" s="460"/>
      <c r="E23" s="279">
        <f>E10-E15+E19</f>
        <v>0</v>
      </c>
      <c r="F23" s="277">
        <f>F10-F15+F19</f>
        <v>9498658</v>
      </c>
      <c r="G23" s="277">
        <f>G10-G15+G19</f>
        <v>9498658</v>
      </c>
    </row>
    <row r="24" spans="2:7" ht="15" customHeight="1" x14ac:dyDescent="0.25">
      <c r="B24" s="162"/>
      <c r="C24" s="427" t="s">
        <v>1042</v>
      </c>
      <c r="D24" s="460"/>
      <c r="E24" s="279">
        <f>E23-E13</f>
        <v>0</v>
      </c>
      <c r="F24" s="277">
        <f>F23-F13</f>
        <v>9498658</v>
      </c>
      <c r="G24" s="277">
        <f>G23-G13</f>
        <v>9498658</v>
      </c>
    </row>
    <row r="25" spans="2:7" ht="15" customHeight="1" x14ac:dyDescent="0.25">
      <c r="B25" s="162"/>
      <c r="C25" s="427" t="s">
        <v>1041</v>
      </c>
      <c r="D25" s="460"/>
      <c r="E25" s="279">
        <f>E24-E19</f>
        <v>0</v>
      </c>
      <c r="F25" s="277">
        <f>F24-F19</f>
        <v>9498658</v>
      </c>
      <c r="G25" s="277">
        <f>G24-G19</f>
        <v>9498658</v>
      </c>
    </row>
    <row r="26" spans="2:7" ht="15.75" thickBot="1" x14ac:dyDescent="0.3">
      <c r="B26" s="165"/>
      <c r="C26" s="177"/>
      <c r="D26" s="166"/>
      <c r="E26" s="262"/>
      <c r="F26" s="262"/>
      <c r="G26" s="262"/>
    </row>
    <row r="27" spans="2:7" ht="15.75" thickBot="1" x14ac:dyDescent="0.3">
      <c r="B27" s="161"/>
      <c r="C27" s="161"/>
      <c r="D27" s="130"/>
      <c r="E27" s="207"/>
      <c r="F27" s="207"/>
      <c r="G27" s="207"/>
    </row>
    <row r="28" spans="2:7" ht="15.75" thickBot="1" x14ac:dyDescent="0.3">
      <c r="B28" s="543" t="s">
        <v>3</v>
      </c>
      <c r="C28" s="544"/>
      <c r="D28" s="545"/>
      <c r="E28" s="192" t="s">
        <v>690</v>
      </c>
      <c r="F28" s="192" t="s">
        <v>685</v>
      </c>
      <c r="G28" s="192" t="s">
        <v>692</v>
      </c>
    </row>
    <row r="29" spans="2:7" x14ac:dyDescent="0.25">
      <c r="B29" s="162"/>
      <c r="C29" s="119"/>
      <c r="D29" s="163"/>
      <c r="E29" s="190"/>
      <c r="F29" s="190"/>
      <c r="G29" s="190"/>
    </row>
    <row r="30" spans="2:7" ht="15" customHeight="1" x14ac:dyDescent="0.25">
      <c r="B30" s="133"/>
      <c r="C30" s="427" t="s">
        <v>1040</v>
      </c>
      <c r="D30" s="460"/>
      <c r="E30" s="279">
        <f>E31+E32</f>
        <v>0</v>
      </c>
      <c r="F30" s="279">
        <f>F31+F32</f>
        <v>0</v>
      </c>
      <c r="G30" s="279">
        <f>G31+G32</f>
        <v>0</v>
      </c>
    </row>
    <row r="31" spans="2:7" x14ac:dyDescent="0.25">
      <c r="B31" s="162"/>
      <c r="C31" s="119"/>
      <c r="D31" s="167" t="s">
        <v>1039</v>
      </c>
      <c r="E31" s="198"/>
      <c r="F31" s="198"/>
      <c r="G31" s="198"/>
    </row>
    <row r="32" spans="2:7" x14ac:dyDescent="0.25">
      <c r="B32" s="162"/>
      <c r="C32" s="119"/>
      <c r="D32" s="167" t="s">
        <v>1038</v>
      </c>
      <c r="E32" s="198"/>
      <c r="F32" s="198"/>
      <c r="G32" s="198"/>
    </row>
    <row r="33" spans="2:7" x14ac:dyDescent="0.25">
      <c r="B33" s="162"/>
      <c r="C33" s="119"/>
      <c r="D33" s="163"/>
      <c r="E33" s="198"/>
      <c r="F33" s="198"/>
      <c r="G33" s="198"/>
    </row>
    <row r="34" spans="2:7" ht="15" customHeight="1" x14ac:dyDescent="0.25">
      <c r="B34" s="133"/>
      <c r="C34" s="427" t="s">
        <v>1037</v>
      </c>
      <c r="D34" s="460"/>
      <c r="E34" s="280">
        <f>E25+E30</f>
        <v>0</v>
      </c>
      <c r="F34" s="263">
        <f>F25+F30</f>
        <v>9498658</v>
      </c>
      <c r="G34" s="263">
        <f>G25+G30</f>
        <v>9498658</v>
      </c>
    </row>
    <row r="35" spans="2:7" ht="15.75" thickBot="1" x14ac:dyDescent="0.3">
      <c r="B35" s="165"/>
      <c r="C35" s="177"/>
      <c r="D35" s="166"/>
      <c r="E35" s="191"/>
      <c r="F35" s="191"/>
      <c r="G35" s="191"/>
    </row>
    <row r="36" spans="2:7" ht="15.75" thickBot="1" x14ac:dyDescent="0.3">
      <c r="B36" s="161"/>
      <c r="C36" s="161"/>
      <c r="D36" s="130"/>
      <c r="E36" s="207"/>
      <c r="F36" s="207"/>
      <c r="G36" s="207"/>
    </row>
    <row r="37" spans="2:7" x14ac:dyDescent="0.25">
      <c r="B37" s="527" t="s">
        <v>3</v>
      </c>
      <c r="C37" s="528"/>
      <c r="D37" s="529"/>
      <c r="E37" s="546" t="s">
        <v>1024</v>
      </c>
      <c r="F37" s="533" t="s">
        <v>685</v>
      </c>
      <c r="G37" s="193" t="s">
        <v>1023</v>
      </c>
    </row>
    <row r="38" spans="2:7" ht="15.75" thickBot="1" x14ac:dyDescent="0.3">
      <c r="B38" s="530"/>
      <c r="C38" s="531"/>
      <c r="D38" s="532"/>
      <c r="E38" s="547"/>
      <c r="F38" s="534"/>
      <c r="G38" s="194" t="s">
        <v>692</v>
      </c>
    </row>
    <row r="39" spans="2:7" x14ac:dyDescent="0.25">
      <c r="B39" s="168"/>
      <c r="C39" s="178"/>
      <c r="D39" s="169"/>
      <c r="E39" s="195"/>
      <c r="F39" s="195"/>
      <c r="G39" s="195"/>
    </row>
    <row r="40" spans="2:7" x14ac:dyDescent="0.25">
      <c r="B40" s="170"/>
      <c r="C40" s="548" t="s">
        <v>1036</v>
      </c>
      <c r="D40" s="549"/>
      <c r="E40" s="282">
        <f>E41+E42</f>
        <v>0</v>
      </c>
      <c r="F40" s="282">
        <f>F41+F42</f>
        <v>0</v>
      </c>
      <c r="G40" s="282">
        <f>G41+G42</f>
        <v>0</v>
      </c>
    </row>
    <row r="41" spans="2:7" x14ac:dyDescent="0.25">
      <c r="B41" s="168"/>
      <c r="C41" s="178"/>
      <c r="D41" s="171" t="s">
        <v>1030</v>
      </c>
      <c r="E41" s="281">
        <v>0</v>
      </c>
      <c r="F41" s="281">
        <v>0</v>
      </c>
      <c r="G41" s="281">
        <v>0</v>
      </c>
    </row>
    <row r="42" spans="2:7" x14ac:dyDescent="0.25">
      <c r="B42" s="168"/>
      <c r="C42" s="178"/>
      <c r="D42" s="171" t="s">
        <v>1020</v>
      </c>
      <c r="E42" s="264"/>
      <c r="F42" s="264"/>
      <c r="G42" s="264"/>
    </row>
    <row r="43" spans="2:7" x14ac:dyDescent="0.25">
      <c r="B43" s="170"/>
      <c r="C43" s="548" t="s">
        <v>1035</v>
      </c>
      <c r="D43" s="549"/>
      <c r="E43" s="282">
        <f>E44+E45</f>
        <v>0</v>
      </c>
      <c r="F43" s="282">
        <f>F44+F45</f>
        <v>0</v>
      </c>
      <c r="G43" s="282">
        <f>G44+G45</f>
        <v>0</v>
      </c>
    </row>
    <row r="44" spans="2:7" x14ac:dyDescent="0.25">
      <c r="B44" s="168"/>
      <c r="C44" s="178"/>
      <c r="D44" s="171" t="s">
        <v>1029</v>
      </c>
      <c r="E44" s="264"/>
      <c r="F44" s="264"/>
      <c r="G44" s="264"/>
    </row>
    <row r="45" spans="2:7" x14ac:dyDescent="0.25">
      <c r="B45" s="168"/>
      <c r="C45" s="178"/>
      <c r="D45" s="171" t="s">
        <v>1019</v>
      </c>
      <c r="E45" s="264"/>
      <c r="F45" s="264"/>
      <c r="G45" s="264"/>
    </row>
    <row r="46" spans="2:7" x14ac:dyDescent="0.25">
      <c r="B46" s="168"/>
      <c r="C46" s="178"/>
      <c r="D46" s="169"/>
      <c r="E46" s="264"/>
      <c r="F46" s="264"/>
      <c r="G46" s="264"/>
    </row>
    <row r="47" spans="2:7" x14ac:dyDescent="0.25">
      <c r="B47" s="525"/>
      <c r="C47" s="548" t="s">
        <v>1034</v>
      </c>
      <c r="D47" s="549"/>
      <c r="E47" s="283">
        <f>E40+E43</f>
        <v>0</v>
      </c>
      <c r="F47" s="283">
        <f>F40+F43</f>
        <v>0</v>
      </c>
      <c r="G47" s="283">
        <f>G40+G43</f>
        <v>0</v>
      </c>
    </row>
    <row r="48" spans="2:7" ht="15.75" thickBot="1" x14ac:dyDescent="0.3">
      <c r="B48" s="526"/>
      <c r="C48" s="179"/>
      <c r="D48" s="172"/>
      <c r="E48" s="196"/>
      <c r="F48" s="196"/>
      <c r="G48" s="196"/>
    </row>
    <row r="49" spans="2:7" ht="15.75" thickBot="1" x14ac:dyDescent="0.3">
      <c r="B49" s="161"/>
      <c r="C49" s="161"/>
      <c r="D49" s="130"/>
      <c r="E49" s="207"/>
      <c r="F49" s="207"/>
      <c r="G49" s="207"/>
    </row>
    <row r="50" spans="2:7" x14ac:dyDescent="0.25">
      <c r="B50" s="527" t="s">
        <v>3</v>
      </c>
      <c r="C50" s="528"/>
      <c r="D50" s="529"/>
      <c r="E50" s="193" t="s">
        <v>1033</v>
      </c>
      <c r="F50" s="533" t="s">
        <v>685</v>
      </c>
      <c r="G50" s="193" t="s">
        <v>1023</v>
      </c>
    </row>
    <row r="51" spans="2:7" ht="15.75" thickBot="1" x14ac:dyDescent="0.3">
      <c r="B51" s="530"/>
      <c r="C51" s="531"/>
      <c r="D51" s="532"/>
      <c r="E51" s="194" t="s">
        <v>690</v>
      </c>
      <c r="F51" s="534"/>
      <c r="G51" s="194" t="s">
        <v>692</v>
      </c>
    </row>
    <row r="52" spans="2:7" x14ac:dyDescent="0.25">
      <c r="B52" s="522"/>
      <c r="C52" s="523"/>
      <c r="D52" s="524"/>
      <c r="E52" s="195"/>
      <c r="F52" s="195"/>
      <c r="G52" s="195"/>
    </row>
    <row r="53" spans="2:7" x14ac:dyDescent="0.25">
      <c r="B53" s="168"/>
      <c r="C53" s="548" t="s">
        <v>1032</v>
      </c>
      <c r="D53" s="549"/>
      <c r="E53" s="266">
        <v>19818332</v>
      </c>
      <c r="F53" s="266">
        <v>27609510</v>
      </c>
      <c r="G53" s="266">
        <f>BALANZA!V408</f>
        <v>27609510</v>
      </c>
    </row>
    <row r="54" spans="2:7" x14ac:dyDescent="0.25">
      <c r="B54" s="168"/>
      <c r="C54" s="548" t="s">
        <v>1031</v>
      </c>
      <c r="D54" s="549"/>
      <c r="E54" s="282">
        <f>E55-E56</f>
        <v>0</v>
      </c>
      <c r="F54" s="282">
        <f>F55-F56</f>
        <v>0</v>
      </c>
      <c r="G54" s="282">
        <f>G55-G56</f>
        <v>0</v>
      </c>
    </row>
    <row r="55" spans="2:7" x14ac:dyDescent="0.25">
      <c r="B55" s="168"/>
      <c r="C55" s="178"/>
      <c r="D55" s="171" t="s">
        <v>1030</v>
      </c>
      <c r="E55" s="281">
        <v>0</v>
      </c>
      <c r="F55" s="281">
        <v>0</v>
      </c>
      <c r="G55" s="281">
        <v>0</v>
      </c>
    </row>
    <row r="56" spans="2:7" x14ac:dyDescent="0.25">
      <c r="B56" s="168"/>
      <c r="C56" s="178"/>
      <c r="D56" s="171" t="s">
        <v>1029</v>
      </c>
      <c r="E56" s="264"/>
      <c r="F56" s="264"/>
      <c r="G56" s="264"/>
    </row>
    <row r="57" spans="2:7" x14ac:dyDescent="0.25">
      <c r="B57" s="168"/>
      <c r="C57" s="178"/>
      <c r="D57" s="169"/>
      <c r="E57" s="264"/>
      <c r="F57" s="264"/>
      <c r="G57" s="264"/>
    </row>
    <row r="58" spans="2:7" x14ac:dyDescent="0.25">
      <c r="B58" s="168"/>
      <c r="C58" s="548" t="s">
        <v>1028</v>
      </c>
      <c r="D58" s="549"/>
      <c r="E58" s="266">
        <v>19818332</v>
      </c>
      <c r="F58" s="266">
        <v>18110852</v>
      </c>
      <c r="G58" s="266">
        <v>18110852</v>
      </c>
    </row>
    <row r="59" spans="2:7" x14ac:dyDescent="0.25">
      <c r="B59" s="168"/>
      <c r="C59" s="178"/>
      <c r="D59" s="169"/>
      <c r="E59" s="264"/>
      <c r="F59" s="264"/>
      <c r="G59" s="264"/>
    </row>
    <row r="60" spans="2:7" x14ac:dyDescent="0.25">
      <c r="B60" s="168"/>
      <c r="C60" s="548" t="s">
        <v>1027</v>
      </c>
      <c r="D60" s="549"/>
      <c r="E60" s="264"/>
      <c r="F60" s="264"/>
      <c r="G60" s="264"/>
    </row>
    <row r="61" spans="2:7" x14ac:dyDescent="0.25">
      <c r="B61" s="168"/>
      <c r="C61" s="178"/>
      <c r="D61" s="169"/>
      <c r="E61" s="264"/>
      <c r="F61" s="264"/>
      <c r="G61" s="264"/>
    </row>
    <row r="62" spans="2:7" x14ac:dyDescent="0.25">
      <c r="B62" s="170"/>
      <c r="C62" s="548" t="s">
        <v>1026</v>
      </c>
      <c r="D62" s="549"/>
      <c r="E62" s="282">
        <f>E53+E54-E58+E60</f>
        <v>0</v>
      </c>
      <c r="F62" s="266">
        <f>F53+F54-F58+F60</f>
        <v>9498658</v>
      </c>
      <c r="G62" s="266">
        <f>G53+G54-G58+G60</f>
        <v>9498658</v>
      </c>
    </row>
    <row r="63" spans="2:7" x14ac:dyDescent="0.25">
      <c r="B63" s="170"/>
      <c r="C63" s="548" t="s">
        <v>1025</v>
      </c>
      <c r="D63" s="549"/>
      <c r="E63" s="282">
        <f>E62-E54</f>
        <v>0</v>
      </c>
      <c r="F63" s="266">
        <f>F62-F54</f>
        <v>9498658</v>
      </c>
      <c r="G63" s="266">
        <f>G62-G54</f>
        <v>9498658</v>
      </c>
    </row>
    <row r="64" spans="2:7" ht="15.75" thickBot="1" x14ac:dyDescent="0.3">
      <c r="B64" s="173"/>
      <c r="C64" s="180"/>
      <c r="D64" s="174"/>
      <c r="E64" s="197"/>
      <c r="F64" s="197"/>
      <c r="G64" s="197"/>
    </row>
    <row r="65" spans="2:7" ht="15.75" thickBot="1" x14ac:dyDescent="0.3">
      <c r="B65" s="161"/>
      <c r="C65" s="161"/>
      <c r="D65" s="130"/>
      <c r="E65" s="207"/>
      <c r="F65" s="207"/>
      <c r="G65" s="207"/>
    </row>
    <row r="66" spans="2:7" x14ac:dyDescent="0.25">
      <c r="B66" s="527" t="s">
        <v>3</v>
      </c>
      <c r="C66" s="528"/>
      <c r="D66" s="529"/>
      <c r="E66" s="546" t="s">
        <v>1024</v>
      </c>
      <c r="F66" s="533" t="s">
        <v>685</v>
      </c>
      <c r="G66" s="193" t="s">
        <v>1023</v>
      </c>
    </row>
    <row r="67" spans="2:7" ht="15.75" thickBot="1" x14ac:dyDescent="0.3">
      <c r="B67" s="530"/>
      <c r="C67" s="531"/>
      <c r="D67" s="532"/>
      <c r="E67" s="547"/>
      <c r="F67" s="534"/>
      <c r="G67" s="194" t="s">
        <v>692</v>
      </c>
    </row>
    <row r="68" spans="2:7" x14ac:dyDescent="0.25">
      <c r="B68" s="522"/>
      <c r="C68" s="523"/>
      <c r="D68" s="524"/>
      <c r="E68" s="195"/>
      <c r="F68" s="195"/>
      <c r="G68" s="195"/>
    </row>
    <row r="69" spans="2:7" x14ac:dyDescent="0.25">
      <c r="B69" s="168"/>
      <c r="C69" s="558" t="s">
        <v>1022</v>
      </c>
      <c r="D69" s="466"/>
      <c r="E69" s="265"/>
      <c r="F69" s="265"/>
      <c r="G69" s="265"/>
    </row>
    <row r="70" spans="2:7" x14ac:dyDescent="0.25">
      <c r="B70" s="168"/>
      <c r="C70" s="558" t="s">
        <v>1021</v>
      </c>
      <c r="D70" s="466"/>
      <c r="E70" s="281">
        <f>E71-E72</f>
        <v>0</v>
      </c>
      <c r="F70" s="281">
        <f>F71-F72</f>
        <v>0</v>
      </c>
      <c r="G70" s="281">
        <f>G71-G72</f>
        <v>0</v>
      </c>
    </row>
    <row r="71" spans="2:7" x14ac:dyDescent="0.25">
      <c r="B71" s="168"/>
      <c r="C71" s="178"/>
      <c r="D71" s="171" t="s">
        <v>1020</v>
      </c>
      <c r="E71" s="281"/>
      <c r="F71" s="281"/>
      <c r="G71" s="281"/>
    </row>
    <row r="72" spans="2:7" x14ac:dyDescent="0.25">
      <c r="B72" s="168"/>
      <c r="C72" s="178"/>
      <c r="D72" s="171" t="s">
        <v>1019</v>
      </c>
      <c r="E72" s="281"/>
      <c r="F72" s="281"/>
      <c r="G72" s="281"/>
    </row>
    <row r="73" spans="2:7" x14ac:dyDescent="0.25">
      <c r="B73" s="168"/>
      <c r="C73" s="178"/>
      <c r="D73" s="169"/>
      <c r="E73" s="281"/>
      <c r="F73" s="281"/>
      <c r="G73" s="281"/>
    </row>
    <row r="74" spans="2:7" x14ac:dyDescent="0.25">
      <c r="B74" s="168"/>
      <c r="C74" s="558" t="s">
        <v>1018</v>
      </c>
      <c r="D74" s="466"/>
      <c r="E74" s="281">
        <v>0</v>
      </c>
      <c r="F74" s="281">
        <f>F75-F76</f>
        <v>0</v>
      </c>
      <c r="G74" s="281">
        <f>G75-G76</f>
        <v>0</v>
      </c>
    </row>
    <row r="75" spans="2:7" x14ac:dyDescent="0.25">
      <c r="B75" s="168"/>
      <c r="C75" s="178"/>
      <c r="D75" s="169"/>
      <c r="E75" s="281"/>
      <c r="F75" s="281"/>
      <c r="G75" s="281"/>
    </row>
    <row r="76" spans="2:7" x14ac:dyDescent="0.25">
      <c r="B76" s="168"/>
      <c r="C76" s="558" t="s">
        <v>1017</v>
      </c>
      <c r="D76" s="466"/>
      <c r="E76" s="281">
        <v>0</v>
      </c>
      <c r="F76" s="281">
        <v>0</v>
      </c>
      <c r="G76" s="281">
        <v>0</v>
      </c>
    </row>
    <row r="77" spans="2:7" x14ac:dyDescent="0.25">
      <c r="B77" s="168"/>
      <c r="C77" s="178"/>
      <c r="D77" s="169"/>
      <c r="E77" s="281"/>
      <c r="F77" s="281"/>
      <c r="G77" s="281"/>
    </row>
    <row r="78" spans="2:7" x14ac:dyDescent="0.25">
      <c r="B78" s="170"/>
      <c r="C78" s="548" t="s">
        <v>1016</v>
      </c>
      <c r="D78" s="549"/>
      <c r="E78" s="282">
        <f>E69+E70-E74+E76</f>
        <v>0</v>
      </c>
      <c r="F78" s="282">
        <f>F69+F70-F74+F76</f>
        <v>0</v>
      </c>
      <c r="G78" s="282">
        <f>G69+G70-G74+G76</f>
        <v>0</v>
      </c>
    </row>
    <row r="79" spans="2:7" x14ac:dyDescent="0.25">
      <c r="B79" s="525"/>
      <c r="C79" s="548" t="s">
        <v>1015</v>
      </c>
      <c r="D79" s="549"/>
      <c r="E79" s="283">
        <f>E78-E70</f>
        <v>0</v>
      </c>
      <c r="F79" s="283">
        <f>F78-F70</f>
        <v>0</v>
      </c>
      <c r="G79" s="283">
        <f>G78-G70</f>
        <v>0</v>
      </c>
    </row>
    <row r="80" spans="2:7" ht="15.75" thickBot="1" x14ac:dyDescent="0.3">
      <c r="B80" s="526"/>
      <c r="C80" s="179"/>
      <c r="D80" s="172"/>
      <c r="E80" s="196"/>
      <c r="F80" s="196"/>
      <c r="G80" s="196"/>
    </row>
    <row r="84" spans="4:7" x14ac:dyDescent="0.25">
      <c r="D84" s="305" t="s">
        <v>1292</v>
      </c>
      <c r="E84" s="557" t="s">
        <v>1294</v>
      </c>
      <c r="F84" s="557"/>
      <c r="G84" s="557"/>
    </row>
    <row r="85" spans="4:7" x14ac:dyDescent="0.25">
      <c r="D85" s="305" t="s">
        <v>1293</v>
      </c>
      <c r="E85" s="557" t="s">
        <v>1295</v>
      </c>
      <c r="F85" s="557"/>
      <c r="G85" s="557"/>
    </row>
  </sheetData>
  <mergeCells count="45">
    <mergeCell ref="E84:G84"/>
    <mergeCell ref="E85:G85"/>
    <mergeCell ref="C79:D79"/>
    <mergeCell ref="C69:D69"/>
    <mergeCell ref="C70:D70"/>
    <mergeCell ref="C74:D74"/>
    <mergeCell ref="C76:D76"/>
    <mergeCell ref="C78:D78"/>
    <mergeCell ref="C40:D40"/>
    <mergeCell ref="C58:D58"/>
    <mergeCell ref="C60:D60"/>
    <mergeCell ref="C62:D62"/>
    <mergeCell ref="C63:D63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</mergeCells>
  <printOptions horizontalCentered="1"/>
  <pageMargins left="0" right="0" top="0" bottom="0" header="0" footer="0"/>
  <pageSetup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5"/>
  <sheetViews>
    <sheetView topLeftCell="B1" workbookViewId="0">
      <selection activeCell="J74" sqref="J74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7" width="11.5703125" bestFit="1" customWidth="1"/>
    <col min="8" max="8" width="12" bestFit="1" customWidth="1"/>
    <col min="9" max="10" width="11.5703125" bestFit="1" customWidth="1"/>
  </cols>
  <sheetData>
    <row r="1" spans="2:10" ht="15.75" thickBot="1" x14ac:dyDescent="0.3">
      <c r="B1" s="560" t="s">
        <v>1121</v>
      </c>
      <c r="C1" s="560"/>
      <c r="D1" s="560"/>
      <c r="E1" s="560"/>
      <c r="F1" s="560"/>
      <c r="G1" s="560"/>
      <c r="H1" s="560"/>
      <c r="I1" s="560"/>
      <c r="J1" s="560"/>
    </row>
    <row r="2" spans="2:10" ht="12.95" customHeight="1" x14ac:dyDescent="0.25">
      <c r="B2" s="508" t="s">
        <v>697</v>
      </c>
      <c r="C2" s="509"/>
      <c r="D2" s="509"/>
      <c r="E2" s="509"/>
      <c r="F2" s="509"/>
      <c r="G2" s="509"/>
      <c r="H2" s="509"/>
      <c r="I2" s="509"/>
      <c r="J2" s="510"/>
    </row>
    <row r="3" spans="2:10" ht="12.95" customHeight="1" x14ac:dyDescent="0.25">
      <c r="B3" s="577" t="s">
        <v>1120</v>
      </c>
      <c r="C3" s="578"/>
      <c r="D3" s="578"/>
      <c r="E3" s="578"/>
      <c r="F3" s="578"/>
      <c r="G3" s="578"/>
      <c r="H3" s="578"/>
      <c r="I3" s="578"/>
      <c r="J3" s="579"/>
    </row>
    <row r="4" spans="2:10" ht="12.95" customHeight="1" x14ac:dyDescent="0.25">
      <c r="B4" s="577" t="s">
        <v>1308</v>
      </c>
      <c r="C4" s="578"/>
      <c r="D4" s="578"/>
      <c r="E4" s="578"/>
      <c r="F4" s="578"/>
      <c r="G4" s="578"/>
      <c r="H4" s="578"/>
      <c r="I4" s="578"/>
      <c r="J4" s="579"/>
    </row>
    <row r="5" spans="2:10" ht="12.95" customHeight="1" thickBot="1" x14ac:dyDescent="0.3">
      <c r="B5" s="580" t="s">
        <v>949</v>
      </c>
      <c r="C5" s="581"/>
      <c r="D5" s="581"/>
      <c r="E5" s="581"/>
      <c r="F5" s="581"/>
      <c r="G5" s="581"/>
      <c r="H5" s="581"/>
      <c r="I5" s="581"/>
      <c r="J5" s="582"/>
    </row>
    <row r="6" spans="2:10" ht="15.75" thickBot="1" x14ac:dyDescent="0.3">
      <c r="B6" s="508"/>
      <c r="C6" s="509"/>
      <c r="D6" s="510"/>
      <c r="E6" s="583" t="s">
        <v>683</v>
      </c>
      <c r="F6" s="584"/>
      <c r="G6" s="584"/>
      <c r="H6" s="584"/>
      <c r="I6" s="585"/>
      <c r="J6" s="484" t="s">
        <v>1119</v>
      </c>
    </row>
    <row r="7" spans="2:10" x14ac:dyDescent="0.25">
      <c r="B7" s="577" t="s">
        <v>3</v>
      </c>
      <c r="C7" s="578"/>
      <c r="D7" s="579"/>
      <c r="E7" s="484" t="s">
        <v>1118</v>
      </c>
      <c r="F7" s="487" t="s">
        <v>691</v>
      </c>
      <c r="G7" s="484" t="s">
        <v>684</v>
      </c>
      <c r="H7" s="484" t="s">
        <v>685</v>
      </c>
      <c r="I7" s="484" t="s">
        <v>686</v>
      </c>
      <c r="J7" s="485"/>
    </row>
    <row r="8" spans="2:10" ht="15.75" thickBot="1" x14ac:dyDescent="0.3">
      <c r="B8" s="580" t="s">
        <v>1117</v>
      </c>
      <c r="C8" s="581"/>
      <c r="D8" s="582"/>
      <c r="E8" s="486"/>
      <c r="F8" s="489"/>
      <c r="G8" s="486"/>
      <c r="H8" s="486"/>
      <c r="I8" s="486"/>
      <c r="J8" s="486"/>
    </row>
    <row r="9" spans="2:10" x14ac:dyDescent="0.25">
      <c r="B9" s="573"/>
      <c r="C9" s="574"/>
      <c r="D9" s="575"/>
      <c r="E9" s="205"/>
      <c r="F9" s="205"/>
      <c r="G9" s="205"/>
      <c r="H9" s="205"/>
      <c r="I9" s="205"/>
      <c r="J9" s="205"/>
    </row>
    <row r="10" spans="2:10" x14ac:dyDescent="0.25">
      <c r="B10" s="569" t="s">
        <v>1116</v>
      </c>
      <c r="C10" s="548"/>
      <c r="D10" s="549"/>
      <c r="E10" s="205"/>
      <c r="F10" s="205"/>
      <c r="G10" s="205"/>
      <c r="H10" s="205"/>
      <c r="I10" s="205"/>
      <c r="J10" s="205"/>
    </row>
    <row r="11" spans="2:10" x14ac:dyDescent="0.25">
      <c r="B11" s="124"/>
      <c r="C11" s="567" t="s">
        <v>1115</v>
      </c>
      <c r="D11" s="568"/>
      <c r="E11" s="352">
        <v>0</v>
      </c>
      <c r="F11" s="352">
        <v>0</v>
      </c>
      <c r="G11" s="352">
        <v>0</v>
      </c>
      <c r="H11" s="352">
        <v>0</v>
      </c>
      <c r="I11" s="352">
        <v>0</v>
      </c>
      <c r="J11" s="352">
        <v>0</v>
      </c>
    </row>
    <row r="12" spans="2:10" x14ac:dyDescent="0.25">
      <c r="B12" s="124"/>
      <c r="C12" s="567" t="s">
        <v>1114</v>
      </c>
      <c r="D12" s="568"/>
      <c r="E12" s="206"/>
      <c r="F12" s="206"/>
      <c r="G12" s="206"/>
      <c r="H12" s="206"/>
      <c r="I12" s="206"/>
      <c r="J12" s="206"/>
    </row>
    <row r="13" spans="2:10" x14ac:dyDescent="0.25">
      <c r="B13" s="124"/>
      <c r="C13" s="567" t="s">
        <v>1113</v>
      </c>
      <c r="D13" s="568"/>
      <c r="E13" s="206"/>
      <c r="F13" s="206"/>
      <c r="G13" s="206"/>
      <c r="H13" s="206"/>
      <c r="I13" s="206"/>
      <c r="J13" s="206"/>
    </row>
    <row r="14" spans="2:10" x14ac:dyDescent="0.25">
      <c r="B14" s="124"/>
      <c r="C14" s="567" t="s">
        <v>1112</v>
      </c>
      <c r="D14" s="568"/>
      <c r="E14" s="219">
        <v>8175198</v>
      </c>
      <c r="F14" s="219">
        <v>-2028732</v>
      </c>
      <c r="G14" s="219">
        <f>+E14+F14</f>
        <v>6146466</v>
      </c>
      <c r="H14" s="219">
        <v>5963924</v>
      </c>
      <c r="I14" s="219">
        <f>BALANZA!V427</f>
        <v>6146466</v>
      </c>
      <c r="J14" s="353">
        <f>+I14-E14</f>
        <v>-2028732</v>
      </c>
    </row>
    <row r="15" spans="2:10" x14ac:dyDescent="0.25">
      <c r="B15" s="124"/>
      <c r="C15" s="567" t="s">
        <v>1111</v>
      </c>
      <c r="D15" s="568"/>
      <c r="E15" s="219">
        <v>15134</v>
      </c>
      <c r="F15" s="219">
        <v>-3020</v>
      </c>
      <c r="G15" s="219">
        <f t="shared" ref="G15:G16" si="0">+E15+F15</f>
        <v>12114</v>
      </c>
      <c r="H15" s="219">
        <v>12114</v>
      </c>
      <c r="I15" s="219">
        <f>BALANZA!V441</f>
        <v>12114</v>
      </c>
      <c r="J15" s="353">
        <f t="shared" ref="J15:J16" si="1">+I15-E15</f>
        <v>-3020</v>
      </c>
    </row>
    <row r="16" spans="2:10" x14ac:dyDescent="0.25">
      <c r="B16" s="124"/>
      <c r="C16" s="567" t="s">
        <v>1110</v>
      </c>
      <c r="D16" s="568"/>
      <c r="E16" s="219">
        <v>165000</v>
      </c>
      <c r="F16" s="219">
        <v>-62205</v>
      </c>
      <c r="G16" s="219">
        <f t="shared" si="0"/>
        <v>102795</v>
      </c>
      <c r="H16" s="219">
        <v>102795</v>
      </c>
      <c r="I16" s="219">
        <f>BALANZA!V450</f>
        <v>102795</v>
      </c>
      <c r="J16" s="353">
        <f t="shared" si="1"/>
        <v>-62205</v>
      </c>
    </row>
    <row r="17" spans="2:10" x14ac:dyDescent="0.25">
      <c r="B17" s="124"/>
      <c r="C17" s="567" t="s">
        <v>1109</v>
      </c>
      <c r="D17" s="568"/>
      <c r="E17" s="206"/>
      <c r="F17" s="206"/>
      <c r="G17" s="206"/>
      <c r="H17" s="206"/>
      <c r="I17" s="206"/>
      <c r="J17" s="206"/>
    </row>
    <row r="18" spans="2:10" x14ac:dyDescent="0.25">
      <c r="B18" s="465"/>
      <c r="C18" s="567" t="s">
        <v>1108</v>
      </c>
      <c r="D18" s="568"/>
      <c r="E18" s="559">
        <f t="shared" ref="E18:I18" si="2">E20+E21+E22+E23+E24+E25+E26+E27+E28+E29+E30</f>
        <v>11463000</v>
      </c>
      <c r="F18" s="559">
        <f t="shared" si="2"/>
        <v>9885135</v>
      </c>
      <c r="G18" s="559">
        <f t="shared" si="2"/>
        <v>21348135</v>
      </c>
      <c r="H18" s="559">
        <f t="shared" si="2"/>
        <v>21348135</v>
      </c>
      <c r="I18" s="559">
        <f t="shared" si="2"/>
        <v>21348135</v>
      </c>
      <c r="J18" s="559">
        <f t="shared" ref="J18" si="3">J20+J21+J22+J23+J24+J25+J26+J27+J28+J29+J30</f>
        <v>9885135</v>
      </c>
    </row>
    <row r="19" spans="2:10" x14ac:dyDescent="0.25">
      <c r="B19" s="465"/>
      <c r="C19" s="567" t="s">
        <v>1107</v>
      </c>
      <c r="D19" s="568"/>
      <c r="E19" s="559"/>
      <c r="F19" s="559"/>
      <c r="G19" s="559"/>
      <c r="H19" s="559"/>
      <c r="I19" s="559"/>
      <c r="J19" s="559"/>
    </row>
    <row r="20" spans="2:10" x14ac:dyDescent="0.25">
      <c r="B20" s="124"/>
      <c r="C20" s="142"/>
      <c r="D20" s="155" t="s">
        <v>1106</v>
      </c>
      <c r="E20" s="219">
        <v>11463000</v>
      </c>
      <c r="F20" s="219">
        <v>9885135</v>
      </c>
      <c r="G20" s="219">
        <f>+E20+F20</f>
        <v>21348135</v>
      </c>
      <c r="H20" s="219">
        <v>21348135</v>
      </c>
      <c r="I20" s="219">
        <f>BALANZA!V471</f>
        <v>21348135</v>
      </c>
      <c r="J20" s="353">
        <f t="shared" ref="J20" si="4">+I20-E20</f>
        <v>9885135</v>
      </c>
    </row>
    <row r="21" spans="2:10" x14ac:dyDescent="0.25">
      <c r="B21" s="124"/>
      <c r="C21" s="142"/>
      <c r="D21" s="155" t="s">
        <v>1105</v>
      </c>
      <c r="E21" s="206"/>
      <c r="F21" s="206"/>
      <c r="G21" s="206"/>
      <c r="H21" s="206"/>
      <c r="I21" s="206"/>
      <c r="J21" s="206"/>
    </row>
    <row r="22" spans="2:10" x14ac:dyDescent="0.25">
      <c r="B22" s="124"/>
      <c r="C22" s="142"/>
      <c r="D22" s="155" t="s">
        <v>1104</v>
      </c>
      <c r="E22" s="206"/>
      <c r="F22" s="206"/>
      <c r="G22" s="206"/>
      <c r="H22" s="206"/>
      <c r="I22" s="206"/>
      <c r="J22" s="206"/>
    </row>
    <row r="23" spans="2:10" x14ac:dyDescent="0.25">
      <c r="B23" s="124"/>
      <c r="C23" s="142"/>
      <c r="D23" s="155" t="s">
        <v>1103</v>
      </c>
      <c r="E23" s="206"/>
      <c r="F23" s="206"/>
      <c r="G23" s="206"/>
      <c r="H23" s="206"/>
      <c r="I23" s="206"/>
      <c r="J23" s="206"/>
    </row>
    <row r="24" spans="2:10" x14ac:dyDescent="0.25">
      <c r="B24" s="124"/>
      <c r="C24" s="142"/>
      <c r="D24" s="155" t="s">
        <v>1102</v>
      </c>
      <c r="E24" s="206"/>
      <c r="F24" s="206"/>
      <c r="G24" s="206"/>
      <c r="H24" s="206"/>
      <c r="I24" s="206"/>
      <c r="J24" s="206"/>
    </row>
    <row r="25" spans="2:10" x14ac:dyDescent="0.25">
      <c r="B25" s="124"/>
      <c r="C25" s="142"/>
      <c r="D25" s="155" t="s">
        <v>1101</v>
      </c>
      <c r="E25" s="206"/>
      <c r="F25" s="206"/>
      <c r="G25" s="206"/>
      <c r="H25" s="206"/>
      <c r="I25" s="206"/>
      <c r="J25" s="206"/>
    </row>
    <row r="26" spans="2:10" x14ac:dyDescent="0.25">
      <c r="B26" s="124"/>
      <c r="C26" s="142"/>
      <c r="D26" s="155" t="s">
        <v>1100</v>
      </c>
      <c r="E26" s="206"/>
      <c r="F26" s="206"/>
      <c r="G26" s="206"/>
      <c r="H26" s="206"/>
      <c r="I26" s="206"/>
      <c r="J26" s="206"/>
    </row>
    <row r="27" spans="2:10" x14ac:dyDescent="0.25">
      <c r="B27" s="124"/>
      <c r="C27" s="142"/>
      <c r="D27" s="155" t="s">
        <v>1099</v>
      </c>
      <c r="E27" s="206"/>
      <c r="F27" s="206"/>
      <c r="G27" s="206"/>
      <c r="H27" s="206"/>
      <c r="I27" s="206"/>
      <c r="J27" s="206"/>
    </row>
    <row r="28" spans="2:10" x14ac:dyDescent="0.25">
      <c r="B28" s="124"/>
      <c r="C28" s="142"/>
      <c r="D28" s="155" t="s">
        <v>1098</v>
      </c>
      <c r="E28" s="206"/>
      <c r="F28" s="206"/>
      <c r="G28" s="267"/>
      <c r="H28" s="206"/>
      <c r="I28" s="206"/>
      <c r="J28" s="206"/>
    </row>
    <row r="29" spans="2:10" x14ac:dyDescent="0.25">
      <c r="B29" s="124"/>
      <c r="C29" s="142"/>
      <c r="D29" s="155" t="s">
        <v>1097</v>
      </c>
      <c r="E29" s="206"/>
      <c r="F29" s="206"/>
      <c r="G29" s="206"/>
      <c r="H29" s="206"/>
      <c r="I29" s="206"/>
      <c r="J29" s="206"/>
    </row>
    <row r="30" spans="2:10" ht="22.5" x14ac:dyDescent="0.25">
      <c r="B30" s="124"/>
      <c r="C30" s="142"/>
      <c r="D30" s="122" t="s">
        <v>1096</v>
      </c>
      <c r="E30" s="206"/>
      <c r="F30" s="206"/>
      <c r="G30" s="206"/>
      <c r="H30" s="206"/>
      <c r="I30" s="206"/>
      <c r="J30" s="206"/>
    </row>
    <row r="31" spans="2:10" ht="24" customHeight="1" x14ac:dyDescent="0.25">
      <c r="B31" s="124"/>
      <c r="C31" s="565" t="s">
        <v>1095</v>
      </c>
      <c r="D31" s="566"/>
      <c r="E31" s="284">
        <f t="shared" ref="E31:J31" si="5">E32+E33+E34+E35+E36</f>
        <v>0</v>
      </c>
      <c r="F31" s="284">
        <f t="shared" si="5"/>
        <v>0</v>
      </c>
      <c r="G31" s="284">
        <f t="shared" si="5"/>
        <v>0</v>
      </c>
      <c r="H31" s="284">
        <f t="shared" si="5"/>
        <v>0</v>
      </c>
      <c r="I31" s="284">
        <f t="shared" si="5"/>
        <v>0</v>
      </c>
      <c r="J31" s="284">
        <f t="shared" si="5"/>
        <v>0</v>
      </c>
    </row>
    <row r="32" spans="2:10" x14ac:dyDescent="0.25">
      <c r="B32" s="124"/>
      <c r="C32" s="142"/>
      <c r="D32" s="155" t="s">
        <v>1094</v>
      </c>
      <c r="E32" s="206"/>
      <c r="F32" s="206"/>
      <c r="G32" s="206"/>
      <c r="H32" s="206"/>
      <c r="I32" s="206"/>
      <c r="J32" s="206"/>
    </row>
    <row r="33" spans="2:10" x14ac:dyDescent="0.25">
      <c r="B33" s="124"/>
      <c r="C33" s="142"/>
      <c r="D33" s="155" t="s">
        <v>1093</v>
      </c>
      <c r="E33" s="206"/>
      <c r="F33" s="206"/>
      <c r="G33" s="206"/>
      <c r="H33" s="206"/>
      <c r="I33" s="206"/>
      <c r="J33" s="206"/>
    </row>
    <row r="34" spans="2:10" x14ac:dyDescent="0.25">
      <c r="B34" s="124"/>
      <c r="C34" s="142"/>
      <c r="D34" s="155" t="s">
        <v>1092</v>
      </c>
      <c r="E34" s="206"/>
      <c r="F34" s="206"/>
      <c r="G34" s="206"/>
      <c r="H34" s="206"/>
      <c r="I34" s="206"/>
      <c r="J34" s="206"/>
    </row>
    <row r="35" spans="2:10" x14ac:dyDescent="0.25">
      <c r="B35" s="124"/>
      <c r="C35" s="142"/>
      <c r="D35" s="122" t="s">
        <v>1091</v>
      </c>
      <c r="E35" s="206"/>
      <c r="F35" s="206"/>
      <c r="G35" s="206"/>
      <c r="H35" s="206"/>
      <c r="I35" s="206"/>
      <c r="J35" s="206"/>
    </row>
    <row r="36" spans="2:10" x14ac:dyDescent="0.25">
      <c r="B36" s="124"/>
      <c r="C36" s="142"/>
      <c r="D36" s="155" t="s">
        <v>1090</v>
      </c>
      <c r="E36" s="206"/>
      <c r="F36" s="206"/>
      <c r="G36" s="206"/>
      <c r="H36" s="206"/>
      <c r="I36" s="206"/>
      <c r="J36" s="206"/>
    </row>
    <row r="37" spans="2:10" x14ac:dyDescent="0.25">
      <c r="B37" s="124"/>
      <c r="C37" s="567" t="s">
        <v>1089</v>
      </c>
      <c r="D37" s="568"/>
      <c r="E37" s="284">
        <v>0</v>
      </c>
      <c r="F37" s="284">
        <v>0</v>
      </c>
      <c r="G37" s="284">
        <f t="shared" ref="G37" si="6">+E37-F37</f>
        <v>0</v>
      </c>
      <c r="H37" s="284">
        <v>0</v>
      </c>
      <c r="I37" s="284">
        <v>0</v>
      </c>
      <c r="J37" s="284">
        <f t="shared" ref="J37" si="7">G37-I37</f>
        <v>0</v>
      </c>
    </row>
    <row r="38" spans="2:10" x14ac:dyDescent="0.25">
      <c r="B38" s="124"/>
      <c r="C38" s="567" t="s">
        <v>1088</v>
      </c>
      <c r="D38" s="568"/>
      <c r="E38" s="219"/>
      <c r="F38" s="219"/>
      <c r="G38" s="219"/>
      <c r="H38" s="219"/>
      <c r="I38" s="219"/>
      <c r="J38" s="219"/>
    </row>
    <row r="39" spans="2:10" x14ac:dyDescent="0.25">
      <c r="B39" s="124"/>
      <c r="C39" s="142"/>
      <c r="D39" s="155" t="s">
        <v>1087</v>
      </c>
      <c r="E39" s="219"/>
      <c r="F39" s="219"/>
      <c r="G39" s="219"/>
      <c r="H39" s="219"/>
      <c r="I39" s="219"/>
      <c r="J39" s="219"/>
    </row>
    <row r="40" spans="2:10" x14ac:dyDescent="0.25">
      <c r="B40" s="124"/>
      <c r="C40" s="567" t="s">
        <v>1086</v>
      </c>
      <c r="D40" s="568"/>
      <c r="E40" s="284">
        <f t="shared" ref="E40:J40" si="8">E41+E42</f>
        <v>0</v>
      </c>
      <c r="F40" s="284">
        <f t="shared" si="8"/>
        <v>0</v>
      </c>
      <c r="G40" s="284">
        <f t="shared" si="8"/>
        <v>0</v>
      </c>
      <c r="H40" s="284">
        <f t="shared" si="8"/>
        <v>0</v>
      </c>
      <c r="I40" s="284">
        <f t="shared" si="8"/>
        <v>0</v>
      </c>
      <c r="J40" s="284">
        <f t="shared" si="8"/>
        <v>0</v>
      </c>
    </row>
    <row r="41" spans="2:10" x14ac:dyDescent="0.25">
      <c r="B41" s="124"/>
      <c r="C41" s="142"/>
      <c r="D41" s="155" t="s">
        <v>1085</v>
      </c>
      <c r="E41" s="219"/>
      <c r="F41" s="219"/>
      <c r="G41" s="219"/>
      <c r="H41" s="219"/>
      <c r="I41" s="219"/>
      <c r="J41" s="219"/>
    </row>
    <row r="42" spans="2:10" x14ac:dyDescent="0.25">
      <c r="B42" s="124"/>
      <c r="C42" s="142"/>
      <c r="D42" s="155" t="s">
        <v>1084</v>
      </c>
      <c r="E42" s="219"/>
      <c r="F42" s="219"/>
      <c r="G42" s="219"/>
      <c r="H42" s="219"/>
      <c r="I42" s="219"/>
      <c r="J42" s="219"/>
    </row>
    <row r="43" spans="2:10" x14ac:dyDescent="0.25">
      <c r="B43" s="156"/>
      <c r="C43" s="157"/>
      <c r="D43" s="158"/>
      <c r="E43" s="219"/>
      <c r="F43" s="219"/>
      <c r="G43" s="219"/>
      <c r="H43" s="219"/>
      <c r="I43" s="219"/>
      <c r="J43" s="219"/>
    </row>
    <row r="44" spans="2:10" x14ac:dyDescent="0.25">
      <c r="B44" s="569" t="s">
        <v>1083</v>
      </c>
      <c r="C44" s="548"/>
      <c r="D44" s="564"/>
      <c r="E44" s="559">
        <f t="shared" ref="E44:G44" si="9">E11+E12+E13+E14+E15+E16+E17+E18+E31+E37+E38+E40</f>
        <v>19818332</v>
      </c>
      <c r="F44" s="559">
        <v>7791178</v>
      </c>
      <c r="G44" s="559">
        <f t="shared" si="9"/>
        <v>27609510</v>
      </c>
      <c r="H44" s="559">
        <v>27609510</v>
      </c>
      <c r="I44" s="559">
        <f>BALANZA!V408</f>
        <v>27609510</v>
      </c>
      <c r="J44" s="559">
        <f t="shared" ref="J44" si="10">J11+J12+J13+J14+J15+J16+J17+J18+J31+J37+J38+J40</f>
        <v>7791178</v>
      </c>
    </row>
    <row r="45" spans="2:10" x14ac:dyDescent="0.25">
      <c r="B45" s="569" t="s">
        <v>1082</v>
      </c>
      <c r="C45" s="548"/>
      <c r="D45" s="564"/>
      <c r="E45" s="559"/>
      <c r="F45" s="559"/>
      <c r="G45" s="559"/>
      <c r="H45" s="559"/>
      <c r="I45" s="559"/>
      <c r="J45" s="559"/>
    </row>
    <row r="46" spans="2:10" x14ac:dyDescent="0.25">
      <c r="B46" s="426" t="s">
        <v>1081</v>
      </c>
      <c r="C46" s="427"/>
      <c r="D46" s="459"/>
      <c r="E46" s="219"/>
      <c r="F46" s="219"/>
      <c r="G46" s="219"/>
      <c r="H46" s="219"/>
      <c r="I46" s="219"/>
      <c r="J46" s="219"/>
    </row>
    <row r="47" spans="2:10" x14ac:dyDescent="0.25">
      <c r="B47" s="156"/>
      <c r="C47" s="157"/>
      <c r="D47" s="158"/>
      <c r="E47" s="219"/>
      <c r="F47" s="219"/>
      <c r="G47" s="219"/>
      <c r="H47" s="219"/>
      <c r="I47" s="219"/>
      <c r="J47" s="219"/>
    </row>
    <row r="48" spans="2:10" x14ac:dyDescent="0.25">
      <c r="B48" s="569" t="s">
        <v>1080</v>
      </c>
      <c r="C48" s="548"/>
      <c r="D48" s="564"/>
      <c r="E48" s="219"/>
      <c r="F48" s="219"/>
      <c r="G48" s="219"/>
      <c r="H48" s="219"/>
      <c r="I48" s="219"/>
      <c r="J48" s="219"/>
    </row>
    <row r="49" spans="2:10" x14ac:dyDescent="0.25">
      <c r="B49" s="124"/>
      <c r="C49" s="567" t="s">
        <v>1079</v>
      </c>
      <c r="D49" s="568"/>
      <c r="E49" s="284">
        <f t="shared" ref="E49:J49" si="11">E50+E51+E52+E53+E54+E55+E56+E57</f>
        <v>0</v>
      </c>
      <c r="F49" s="284">
        <f t="shared" si="11"/>
        <v>0</v>
      </c>
      <c r="G49" s="284">
        <f t="shared" si="11"/>
        <v>0</v>
      </c>
      <c r="H49" s="284">
        <f t="shared" si="11"/>
        <v>0</v>
      </c>
      <c r="I49" s="284">
        <f t="shared" si="11"/>
        <v>0</v>
      </c>
      <c r="J49" s="284">
        <f t="shared" si="11"/>
        <v>0</v>
      </c>
    </row>
    <row r="50" spans="2:10" ht="22.5" x14ac:dyDescent="0.25">
      <c r="B50" s="124"/>
      <c r="C50" s="142"/>
      <c r="D50" s="122" t="s">
        <v>1078</v>
      </c>
      <c r="E50" s="219"/>
      <c r="F50" s="219"/>
      <c r="G50" s="219"/>
      <c r="H50" s="219"/>
      <c r="I50" s="219"/>
      <c r="J50" s="219"/>
    </row>
    <row r="51" spans="2:10" x14ac:dyDescent="0.25">
      <c r="B51" s="124"/>
      <c r="C51" s="142"/>
      <c r="D51" s="155" t="s">
        <v>1077</v>
      </c>
      <c r="E51" s="219"/>
      <c r="F51" s="219"/>
      <c r="G51" s="219"/>
      <c r="H51" s="219"/>
      <c r="I51" s="219"/>
      <c r="J51" s="219"/>
    </row>
    <row r="52" spans="2:10" x14ac:dyDescent="0.25">
      <c r="B52" s="124"/>
      <c r="C52" s="142"/>
      <c r="D52" s="155" t="s">
        <v>1076</v>
      </c>
      <c r="E52" s="219"/>
      <c r="F52" s="219"/>
      <c r="G52" s="219"/>
      <c r="H52" s="219"/>
      <c r="I52" s="219"/>
      <c r="J52" s="219"/>
    </row>
    <row r="53" spans="2:10" ht="33.75" x14ac:dyDescent="0.25">
      <c r="B53" s="124"/>
      <c r="C53" s="142"/>
      <c r="D53" s="122" t="s">
        <v>1075</v>
      </c>
      <c r="E53" s="219"/>
      <c r="F53" s="219"/>
      <c r="G53" s="219"/>
      <c r="H53" s="219"/>
      <c r="I53" s="219"/>
      <c r="J53" s="219"/>
    </row>
    <row r="54" spans="2:10" x14ac:dyDescent="0.25">
      <c r="B54" s="124"/>
      <c r="C54" s="142"/>
      <c r="D54" s="155" t="s">
        <v>1074</v>
      </c>
      <c r="E54" s="219"/>
      <c r="F54" s="219"/>
      <c r="G54" s="219"/>
      <c r="H54" s="219"/>
      <c r="I54" s="219"/>
      <c r="J54" s="219"/>
    </row>
    <row r="55" spans="2:10" ht="22.5" x14ac:dyDescent="0.25">
      <c r="B55" s="124"/>
      <c r="C55" s="142"/>
      <c r="D55" s="122" t="s">
        <v>1073</v>
      </c>
      <c r="E55" s="219"/>
      <c r="F55" s="219"/>
      <c r="G55" s="219"/>
      <c r="H55" s="219"/>
      <c r="I55" s="219"/>
      <c r="J55" s="219"/>
    </row>
    <row r="56" spans="2:10" ht="22.5" x14ac:dyDescent="0.25">
      <c r="B56" s="124"/>
      <c r="C56" s="142"/>
      <c r="D56" s="122" t="s">
        <v>1072</v>
      </c>
      <c r="E56" s="219"/>
      <c r="F56" s="219"/>
      <c r="G56" s="219"/>
      <c r="H56" s="219"/>
      <c r="I56" s="219"/>
      <c r="J56" s="219"/>
    </row>
    <row r="57" spans="2:10" ht="22.5" x14ac:dyDescent="0.25">
      <c r="B57" s="124"/>
      <c r="C57" s="142"/>
      <c r="D57" s="159" t="s">
        <v>1071</v>
      </c>
      <c r="E57" s="219"/>
      <c r="F57" s="219"/>
      <c r="G57" s="219"/>
      <c r="H57" s="219"/>
      <c r="I57" s="219"/>
      <c r="J57" s="219"/>
    </row>
    <row r="58" spans="2:10" x14ac:dyDescent="0.25">
      <c r="B58" s="124"/>
      <c r="C58" s="567" t="s">
        <v>1070</v>
      </c>
      <c r="D58" s="568"/>
      <c r="E58" s="284">
        <f t="shared" ref="E58:J58" si="12">E59+E60+E61+E62</f>
        <v>0</v>
      </c>
      <c r="F58" s="284">
        <f t="shared" si="12"/>
        <v>0</v>
      </c>
      <c r="G58" s="284">
        <f t="shared" si="12"/>
        <v>0</v>
      </c>
      <c r="H58" s="284">
        <f t="shared" si="12"/>
        <v>0</v>
      </c>
      <c r="I58" s="284">
        <f t="shared" si="12"/>
        <v>0</v>
      </c>
      <c r="J58" s="284">
        <f t="shared" si="12"/>
        <v>0</v>
      </c>
    </row>
    <row r="59" spans="2:10" x14ac:dyDescent="0.25">
      <c r="B59" s="124"/>
      <c r="C59" s="142"/>
      <c r="D59" s="155" t="s">
        <v>1069</v>
      </c>
      <c r="E59" s="285"/>
      <c r="F59" s="285"/>
      <c r="G59" s="285"/>
      <c r="H59" s="285"/>
      <c r="I59" s="285"/>
      <c r="J59" s="285"/>
    </row>
    <row r="60" spans="2:10" x14ac:dyDescent="0.25">
      <c r="B60" s="124"/>
      <c r="C60" s="142"/>
      <c r="D60" s="155" t="s">
        <v>1068</v>
      </c>
      <c r="E60" s="285"/>
      <c r="F60" s="285"/>
      <c r="G60" s="285"/>
      <c r="H60" s="285"/>
      <c r="I60" s="285"/>
      <c r="J60" s="285"/>
    </row>
    <row r="61" spans="2:10" x14ac:dyDescent="0.25">
      <c r="B61" s="124"/>
      <c r="C61" s="142"/>
      <c r="D61" s="155" t="s">
        <v>1067</v>
      </c>
      <c r="E61" s="285"/>
      <c r="F61" s="285"/>
      <c r="G61" s="285"/>
      <c r="H61" s="285"/>
      <c r="I61" s="285"/>
      <c r="J61" s="285"/>
    </row>
    <row r="62" spans="2:10" x14ac:dyDescent="0.25">
      <c r="B62" s="124"/>
      <c r="C62" s="142"/>
      <c r="D62" s="155" t="s">
        <v>1066</v>
      </c>
      <c r="E62" s="284"/>
      <c r="F62" s="285"/>
      <c r="G62" s="285"/>
      <c r="H62" s="285"/>
      <c r="I62" s="285"/>
      <c r="J62" s="285"/>
    </row>
    <row r="63" spans="2:10" x14ac:dyDescent="0.25">
      <c r="B63" s="124"/>
      <c r="C63" s="567" t="s">
        <v>1065</v>
      </c>
      <c r="D63" s="568"/>
      <c r="E63" s="284">
        <f t="shared" ref="E63:J63" si="13">E64+E65</f>
        <v>0</v>
      </c>
      <c r="F63" s="284">
        <f t="shared" si="13"/>
        <v>0</v>
      </c>
      <c r="G63" s="284">
        <f t="shared" si="13"/>
        <v>0</v>
      </c>
      <c r="H63" s="284">
        <f t="shared" si="13"/>
        <v>0</v>
      </c>
      <c r="I63" s="284">
        <f t="shared" si="13"/>
        <v>0</v>
      </c>
      <c r="J63" s="284">
        <f t="shared" si="13"/>
        <v>0</v>
      </c>
    </row>
    <row r="64" spans="2:10" ht="22.5" x14ac:dyDescent="0.25">
      <c r="B64" s="124"/>
      <c r="C64" s="142"/>
      <c r="D64" s="122" t="s">
        <v>1064</v>
      </c>
      <c r="E64" s="285"/>
      <c r="F64" s="285"/>
      <c r="G64" s="285"/>
      <c r="H64" s="285"/>
      <c r="I64" s="285"/>
      <c r="J64" s="285"/>
    </row>
    <row r="65" spans="2:10" x14ac:dyDescent="0.25">
      <c r="B65" s="124"/>
      <c r="C65" s="142"/>
      <c r="D65" s="155" t="s">
        <v>1063</v>
      </c>
      <c r="E65" s="285"/>
      <c r="F65" s="284"/>
      <c r="G65" s="285"/>
      <c r="H65" s="285"/>
      <c r="I65" s="285"/>
      <c r="J65" s="285"/>
    </row>
    <row r="66" spans="2:10" ht="22.5" customHeight="1" x14ac:dyDescent="0.25">
      <c r="B66" s="124"/>
      <c r="C66" s="565" t="s">
        <v>1062</v>
      </c>
      <c r="D66" s="566"/>
      <c r="E66" s="285"/>
      <c r="F66" s="285"/>
      <c r="G66" s="285"/>
      <c r="H66" s="285"/>
      <c r="I66" s="285"/>
      <c r="J66" s="285"/>
    </row>
    <row r="67" spans="2:10" x14ac:dyDescent="0.25">
      <c r="B67" s="124"/>
      <c r="C67" s="567" t="s">
        <v>1061</v>
      </c>
      <c r="D67" s="568"/>
      <c r="E67" s="285"/>
      <c r="F67" s="285"/>
      <c r="G67" s="285"/>
      <c r="H67" s="285"/>
      <c r="I67" s="285"/>
      <c r="J67" s="285"/>
    </row>
    <row r="68" spans="2:10" x14ac:dyDescent="0.25">
      <c r="B68" s="156"/>
      <c r="C68" s="561"/>
      <c r="D68" s="562"/>
      <c r="E68" s="285"/>
      <c r="F68" s="285"/>
      <c r="G68" s="285"/>
      <c r="H68" s="285"/>
      <c r="I68" s="285"/>
      <c r="J68" s="285"/>
    </row>
    <row r="69" spans="2:10" ht="21" customHeight="1" x14ac:dyDescent="0.25">
      <c r="B69" s="426" t="s">
        <v>1060</v>
      </c>
      <c r="C69" s="427"/>
      <c r="D69" s="459"/>
      <c r="E69" s="284">
        <f t="shared" ref="E69:J69" si="14">E49+E58+E63+E66+E67</f>
        <v>0</v>
      </c>
      <c r="F69" s="284">
        <f t="shared" si="14"/>
        <v>0</v>
      </c>
      <c r="G69" s="284">
        <f t="shared" si="14"/>
        <v>0</v>
      </c>
      <c r="H69" s="284">
        <f t="shared" si="14"/>
        <v>0</v>
      </c>
      <c r="I69" s="284">
        <f t="shared" si="14"/>
        <v>0</v>
      </c>
      <c r="J69" s="284">
        <f t="shared" si="14"/>
        <v>0</v>
      </c>
    </row>
    <row r="70" spans="2:10" x14ac:dyDescent="0.25">
      <c r="B70" s="156"/>
      <c r="C70" s="561"/>
      <c r="D70" s="562"/>
      <c r="E70" s="285"/>
      <c r="F70" s="285"/>
      <c r="G70" s="285"/>
      <c r="H70" s="285"/>
      <c r="I70" s="285"/>
      <c r="J70" s="285"/>
    </row>
    <row r="71" spans="2:10" x14ac:dyDescent="0.25">
      <c r="B71" s="569" t="s">
        <v>1059</v>
      </c>
      <c r="C71" s="548"/>
      <c r="D71" s="564"/>
      <c r="E71" s="284">
        <f t="shared" ref="E71:J71" si="15">E72</f>
        <v>0</v>
      </c>
      <c r="F71" s="284">
        <f t="shared" si="15"/>
        <v>0</v>
      </c>
      <c r="G71" s="284">
        <f t="shared" si="15"/>
        <v>0</v>
      </c>
      <c r="H71" s="284">
        <f t="shared" si="15"/>
        <v>0</v>
      </c>
      <c r="I71" s="284">
        <f t="shared" si="15"/>
        <v>0</v>
      </c>
      <c r="J71" s="284">
        <f t="shared" si="15"/>
        <v>0</v>
      </c>
    </row>
    <row r="72" spans="2:10" x14ac:dyDescent="0.25">
      <c r="B72" s="124"/>
      <c r="C72" s="567" t="s">
        <v>1058</v>
      </c>
      <c r="D72" s="568"/>
      <c r="E72" s="219"/>
      <c r="F72" s="219"/>
      <c r="G72" s="219"/>
      <c r="H72" s="219"/>
      <c r="I72" s="219"/>
      <c r="J72" s="219"/>
    </row>
    <row r="73" spans="2:10" x14ac:dyDescent="0.25">
      <c r="B73" s="156"/>
      <c r="C73" s="561"/>
      <c r="D73" s="562"/>
      <c r="E73" s="219"/>
      <c r="F73" s="219"/>
      <c r="G73" s="219"/>
      <c r="H73" s="219"/>
      <c r="I73" s="219"/>
      <c r="J73" s="219"/>
    </row>
    <row r="74" spans="2:10" x14ac:dyDescent="0.25">
      <c r="B74" s="569" t="s">
        <v>1057</v>
      </c>
      <c r="C74" s="548"/>
      <c r="D74" s="564"/>
      <c r="E74" s="286">
        <f t="shared" ref="E74:J74" si="16">E44+E69+E71</f>
        <v>19818332</v>
      </c>
      <c r="F74" s="286">
        <f t="shared" si="16"/>
        <v>7791178</v>
      </c>
      <c r="G74" s="286">
        <f t="shared" si="16"/>
        <v>27609510</v>
      </c>
      <c r="H74" s="286">
        <f t="shared" si="16"/>
        <v>27609510</v>
      </c>
      <c r="I74" s="286">
        <f t="shared" si="16"/>
        <v>27609510</v>
      </c>
      <c r="J74" s="286">
        <f t="shared" si="16"/>
        <v>7791178</v>
      </c>
    </row>
    <row r="75" spans="2:10" x14ac:dyDescent="0.25">
      <c r="B75" s="156"/>
      <c r="C75" s="561"/>
      <c r="D75" s="562"/>
      <c r="E75" s="219"/>
      <c r="F75" s="219"/>
      <c r="G75" s="219"/>
      <c r="H75" s="219"/>
      <c r="I75" s="219"/>
      <c r="J75" s="219"/>
    </row>
    <row r="76" spans="2:10" x14ac:dyDescent="0.25">
      <c r="B76" s="124"/>
      <c r="C76" s="563" t="s">
        <v>1056</v>
      </c>
      <c r="D76" s="564"/>
      <c r="E76" s="219"/>
      <c r="F76" s="219"/>
      <c r="G76" s="219"/>
      <c r="H76" s="219"/>
      <c r="I76" s="219"/>
      <c r="J76" s="219"/>
    </row>
    <row r="77" spans="2:10" ht="27.75" customHeight="1" x14ac:dyDescent="0.25">
      <c r="B77" s="124"/>
      <c r="C77" s="565" t="s">
        <v>1055</v>
      </c>
      <c r="D77" s="566"/>
      <c r="E77" s="219"/>
      <c r="F77" s="219"/>
      <c r="G77" s="219"/>
      <c r="H77" s="219"/>
      <c r="I77" s="219"/>
      <c r="J77" s="219"/>
    </row>
    <row r="78" spans="2:10" ht="22.5" customHeight="1" x14ac:dyDescent="0.25">
      <c r="B78" s="124"/>
      <c r="C78" s="565" t="s">
        <v>1054</v>
      </c>
      <c r="D78" s="566"/>
      <c r="E78" s="219"/>
      <c r="F78" s="219"/>
      <c r="G78" s="219"/>
      <c r="H78" s="219"/>
      <c r="I78" s="219"/>
      <c r="J78" s="219"/>
    </row>
    <row r="79" spans="2:10" x14ac:dyDescent="0.25">
      <c r="B79" s="124"/>
      <c r="C79" s="572" t="s">
        <v>1053</v>
      </c>
      <c r="D79" s="459"/>
      <c r="E79" s="284">
        <f t="shared" ref="E79:J79" si="17">E77+E78</f>
        <v>0</v>
      </c>
      <c r="F79" s="284">
        <f t="shared" si="17"/>
        <v>0</v>
      </c>
      <c r="G79" s="284">
        <f t="shared" si="17"/>
        <v>0</v>
      </c>
      <c r="H79" s="284">
        <f t="shared" si="17"/>
        <v>0</v>
      </c>
      <c r="I79" s="284">
        <f t="shared" si="17"/>
        <v>0</v>
      </c>
      <c r="J79" s="284">
        <f t="shared" si="17"/>
        <v>0</v>
      </c>
    </row>
    <row r="80" spans="2:10" ht="15.75" thickBot="1" x14ac:dyDescent="0.3">
      <c r="B80" s="160"/>
      <c r="C80" s="570"/>
      <c r="D80" s="571"/>
      <c r="E80" s="220"/>
      <c r="F80" s="220"/>
      <c r="G80" s="220"/>
      <c r="H80" s="220"/>
      <c r="I80" s="220"/>
      <c r="J80" s="220"/>
    </row>
    <row r="84" spans="4:9" x14ac:dyDescent="0.25">
      <c r="D84" s="114" t="s">
        <v>1292</v>
      </c>
      <c r="E84" s="306"/>
      <c r="F84" s="576" t="s">
        <v>1294</v>
      </c>
      <c r="G84" s="576"/>
      <c r="H84" s="576"/>
      <c r="I84" s="576"/>
    </row>
    <row r="85" spans="4:9" x14ac:dyDescent="0.25">
      <c r="D85" s="114" t="s">
        <v>1293</v>
      </c>
      <c r="E85" s="306"/>
      <c r="F85" s="576" t="s">
        <v>1295</v>
      </c>
      <c r="G85" s="576"/>
      <c r="H85" s="576"/>
      <c r="I85" s="576"/>
    </row>
  </sheetData>
  <mergeCells count="67">
    <mergeCell ref="F84:I84"/>
    <mergeCell ref="F85:I85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  <mergeCell ref="I7:I8"/>
    <mergeCell ref="B9:D9"/>
    <mergeCell ref="C14:D14"/>
    <mergeCell ref="C15:D15"/>
    <mergeCell ref="B10:D10"/>
    <mergeCell ref="C11:D11"/>
    <mergeCell ref="C12:D12"/>
    <mergeCell ref="C13:D13"/>
    <mergeCell ref="J18:J19"/>
    <mergeCell ref="C31:D31"/>
    <mergeCell ref="C37:D37"/>
    <mergeCell ref="C17:D17"/>
    <mergeCell ref="G18:G19"/>
    <mergeCell ref="H18:H19"/>
    <mergeCell ref="I18:I19"/>
    <mergeCell ref="F18:F19"/>
    <mergeCell ref="C16:D16"/>
    <mergeCell ref="B18:B19"/>
    <mergeCell ref="C18:D18"/>
    <mergeCell ref="C19:D19"/>
    <mergeCell ref="E18:E19"/>
    <mergeCell ref="C80:D80"/>
    <mergeCell ref="B69:D69"/>
    <mergeCell ref="C70:D70"/>
    <mergeCell ref="B71:D71"/>
    <mergeCell ref="C72:D72"/>
    <mergeCell ref="C73:D73"/>
    <mergeCell ref="B74:D74"/>
    <mergeCell ref="C79:D79"/>
    <mergeCell ref="B1:J1"/>
    <mergeCell ref="C75:D75"/>
    <mergeCell ref="C76:D76"/>
    <mergeCell ref="C77:D77"/>
    <mergeCell ref="C78:D78"/>
    <mergeCell ref="C49:D49"/>
    <mergeCell ref="C58:D58"/>
    <mergeCell ref="C63:D63"/>
    <mergeCell ref="C66:D66"/>
    <mergeCell ref="C67:D67"/>
    <mergeCell ref="B48:D48"/>
    <mergeCell ref="C38:D38"/>
    <mergeCell ref="C40:D40"/>
    <mergeCell ref="B44:D44"/>
    <mergeCell ref="B45:D45"/>
    <mergeCell ref="C68:D68"/>
    <mergeCell ref="G44:G45"/>
    <mergeCell ref="H44:H45"/>
    <mergeCell ref="I44:I45"/>
    <mergeCell ref="J44:J45"/>
    <mergeCell ref="B46:D46"/>
    <mergeCell ref="E44:E45"/>
    <mergeCell ref="F44:F45"/>
  </mergeCells>
  <printOptions horizontalCentered="1"/>
  <pageMargins left="0" right="0" top="0" bottom="0" header="0" footer="0"/>
  <pageSetup scale="5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zoomScaleNormal="100" workbookViewId="0">
      <selection activeCell="I9" sqref="I9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1.42578125" customWidth="1"/>
    <col min="9" max="9" width="13.28515625" bestFit="1" customWidth="1"/>
  </cols>
  <sheetData>
    <row r="1" spans="2:10" ht="30" customHeight="1" thickBot="1" x14ac:dyDescent="0.3">
      <c r="B1" s="586" t="s">
        <v>1267</v>
      </c>
      <c r="C1" s="586"/>
      <c r="D1" s="586"/>
      <c r="E1" s="586"/>
      <c r="F1" s="586"/>
      <c r="G1" s="586"/>
      <c r="H1" s="586"/>
      <c r="I1" s="586"/>
    </row>
    <row r="2" spans="2:10" x14ac:dyDescent="0.25">
      <c r="B2" s="508" t="s">
        <v>697</v>
      </c>
      <c r="C2" s="509"/>
      <c r="D2" s="509"/>
      <c r="E2" s="509"/>
      <c r="F2" s="509"/>
      <c r="G2" s="509"/>
      <c r="H2" s="509"/>
      <c r="I2" s="587"/>
    </row>
    <row r="3" spans="2:10" x14ac:dyDescent="0.25">
      <c r="B3" s="577" t="s">
        <v>1195</v>
      </c>
      <c r="C3" s="578"/>
      <c r="D3" s="578"/>
      <c r="E3" s="578"/>
      <c r="F3" s="578"/>
      <c r="G3" s="578"/>
      <c r="H3" s="578"/>
      <c r="I3" s="588"/>
      <c r="J3" s="134"/>
    </row>
    <row r="4" spans="2:10" x14ac:dyDescent="0.25">
      <c r="B4" s="577" t="s">
        <v>1196</v>
      </c>
      <c r="C4" s="578"/>
      <c r="D4" s="578"/>
      <c r="E4" s="578"/>
      <c r="F4" s="578"/>
      <c r="G4" s="578"/>
      <c r="H4" s="578"/>
      <c r="I4" s="588"/>
    </row>
    <row r="5" spans="2:10" x14ac:dyDescent="0.25">
      <c r="B5" s="577" t="s">
        <v>1308</v>
      </c>
      <c r="C5" s="578"/>
      <c r="D5" s="578"/>
      <c r="E5" s="578"/>
      <c r="F5" s="578"/>
      <c r="G5" s="578"/>
      <c r="H5" s="578"/>
      <c r="I5" s="588"/>
    </row>
    <row r="6" spans="2:10" ht="15.75" thickBot="1" x14ac:dyDescent="0.3">
      <c r="B6" s="580" t="s">
        <v>949</v>
      </c>
      <c r="C6" s="581"/>
      <c r="D6" s="581"/>
      <c r="E6" s="581"/>
      <c r="F6" s="581"/>
      <c r="G6" s="581"/>
      <c r="H6" s="581"/>
      <c r="I6" s="589"/>
    </row>
    <row r="7" spans="2:10" ht="15.75" thickBot="1" x14ac:dyDescent="0.3">
      <c r="B7" s="508" t="s">
        <v>849</v>
      </c>
      <c r="C7" s="510"/>
      <c r="D7" s="583" t="s">
        <v>689</v>
      </c>
      <c r="E7" s="584"/>
      <c r="F7" s="584"/>
      <c r="G7" s="584"/>
      <c r="H7" s="585"/>
      <c r="I7" s="487" t="s">
        <v>1197</v>
      </c>
    </row>
    <row r="8" spans="2:10" ht="23.25" thickBot="1" x14ac:dyDescent="0.3">
      <c r="B8" s="580"/>
      <c r="C8" s="582"/>
      <c r="D8" s="363" t="s">
        <v>1050</v>
      </c>
      <c r="E8" s="356" t="s">
        <v>1198</v>
      </c>
      <c r="F8" s="363" t="s">
        <v>1199</v>
      </c>
      <c r="G8" s="363" t="s">
        <v>685</v>
      </c>
      <c r="H8" s="363" t="s">
        <v>1049</v>
      </c>
      <c r="I8" s="489"/>
    </row>
    <row r="9" spans="2:10" x14ac:dyDescent="0.25">
      <c r="B9" s="467" t="s">
        <v>1200</v>
      </c>
      <c r="C9" s="590"/>
      <c r="D9" s="268">
        <f t="shared" ref="D9:I9" si="0">D10+D18+D28+D38+D48+D58+D62+D70+D74</f>
        <v>19818332</v>
      </c>
      <c r="E9" s="316">
        <f t="shared" si="0"/>
        <v>7791178</v>
      </c>
      <c r="F9" s="268">
        <f t="shared" si="0"/>
        <v>27609510</v>
      </c>
      <c r="G9" s="268">
        <f t="shared" si="0"/>
        <v>18110852</v>
      </c>
      <c r="H9" s="268">
        <f t="shared" si="0"/>
        <v>18110852</v>
      </c>
      <c r="I9" s="316">
        <f t="shared" si="0"/>
        <v>9498658</v>
      </c>
    </row>
    <row r="10" spans="2:10" x14ac:dyDescent="0.25">
      <c r="B10" s="465" t="s">
        <v>1123</v>
      </c>
      <c r="C10" s="558"/>
      <c r="D10" s="221">
        <f>SUM(D11:D17)</f>
        <v>14874000</v>
      </c>
      <c r="E10" s="221">
        <f>SUM(E11:E17)</f>
        <v>-1868295</v>
      </c>
      <c r="F10" s="222">
        <f t="shared" ref="F10:F54" si="1">+D10+E10</f>
        <v>13005705</v>
      </c>
      <c r="G10" s="222">
        <f>SUM(G11:G17)</f>
        <v>12660693</v>
      </c>
      <c r="H10" s="222">
        <f>SUM(H11:H17)</f>
        <v>12660693</v>
      </c>
      <c r="I10" s="318">
        <f>+F10-G10</f>
        <v>345012</v>
      </c>
    </row>
    <row r="11" spans="2:10" x14ac:dyDescent="0.25">
      <c r="B11" s="185"/>
      <c r="C11" s="188" t="s">
        <v>1124</v>
      </c>
      <c r="D11" s="223">
        <v>10568796</v>
      </c>
      <c r="E11" s="318">
        <v>-600504</v>
      </c>
      <c r="F11" s="225">
        <f t="shared" si="1"/>
        <v>9968292</v>
      </c>
      <c r="G11" s="224">
        <v>9968292</v>
      </c>
      <c r="H11" s="224">
        <f>[3]BALANZA!V506</f>
        <v>9968292</v>
      </c>
      <c r="I11" s="290">
        <f t="shared" ref="I11:I17" si="2">+F11-G11</f>
        <v>0</v>
      </c>
    </row>
    <row r="12" spans="2:10" x14ac:dyDescent="0.25">
      <c r="B12" s="185"/>
      <c r="C12" s="188" t="s">
        <v>1125</v>
      </c>
      <c r="D12" s="223">
        <v>172094</v>
      </c>
      <c r="E12" s="295">
        <v>0</v>
      </c>
      <c r="F12" s="225">
        <f t="shared" si="1"/>
        <v>172094</v>
      </c>
      <c r="G12" s="224">
        <v>172094</v>
      </c>
      <c r="H12" s="224">
        <v>172094</v>
      </c>
      <c r="I12" s="290">
        <f t="shared" si="2"/>
        <v>0</v>
      </c>
    </row>
    <row r="13" spans="2:10" x14ac:dyDescent="0.25">
      <c r="B13" s="185"/>
      <c r="C13" s="188" t="s">
        <v>1126</v>
      </c>
      <c r="D13" s="223">
        <v>1878202</v>
      </c>
      <c r="E13" s="318">
        <v>-891710</v>
      </c>
      <c r="F13" s="225">
        <f t="shared" si="1"/>
        <v>986492</v>
      </c>
      <c r="G13" s="224">
        <v>986492</v>
      </c>
      <c r="H13" s="224">
        <f>[3]BALANZA!V510</f>
        <v>986492</v>
      </c>
      <c r="I13" s="290">
        <f t="shared" si="2"/>
        <v>0</v>
      </c>
    </row>
    <row r="14" spans="2:10" x14ac:dyDescent="0.25">
      <c r="B14" s="185"/>
      <c r="C14" s="188" t="s">
        <v>1127</v>
      </c>
      <c r="D14" s="223">
        <v>2254908</v>
      </c>
      <c r="E14" s="318">
        <v>-376081</v>
      </c>
      <c r="F14" s="225">
        <f t="shared" si="1"/>
        <v>1878827</v>
      </c>
      <c r="G14" s="224">
        <v>1533815</v>
      </c>
      <c r="H14" s="224">
        <f>[3]BALANZA!V514</f>
        <v>1533815</v>
      </c>
      <c r="I14" s="318">
        <f t="shared" si="2"/>
        <v>345012</v>
      </c>
    </row>
    <row r="15" spans="2:10" x14ac:dyDescent="0.25">
      <c r="B15" s="185"/>
      <c r="C15" s="188" t="s">
        <v>1128</v>
      </c>
      <c r="D15" s="289">
        <v>0</v>
      </c>
      <c r="E15" s="289">
        <v>0</v>
      </c>
      <c r="F15" s="291">
        <f t="shared" si="1"/>
        <v>0</v>
      </c>
      <c r="G15" s="290">
        <v>0</v>
      </c>
      <c r="H15" s="290">
        <v>0</v>
      </c>
      <c r="I15" s="290">
        <f t="shared" si="2"/>
        <v>0</v>
      </c>
    </row>
    <row r="16" spans="2:10" x14ac:dyDescent="0.25">
      <c r="B16" s="185"/>
      <c r="C16" s="188" t="s">
        <v>1129</v>
      </c>
      <c r="D16" s="289">
        <v>0</v>
      </c>
      <c r="E16" s="290">
        <v>0</v>
      </c>
      <c r="F16" s="291">
        <f t="shared" si="1"/>
        <v>0</v>
      </c>
      <c r="G16" s="290">
        <v>0</v>
      </c>
      <c r="H16" s="290">
        <v>0</v>
      </c>
      <c r="I16" s="290">
        <f t="shared" si="2"/>
        <v>0</v>
      </c>
    </row>
    <row r="17" spans="2:9" x14ac:dyDescent="0.25">
      <c r="B17" s="185"/>
      <c r="C17" s="188" t="s">
        <v>1130</v>
      </c>
      <c r="D17" s="289">
        <v>0</v>
      </c>
      <c r="E17" s="290">
        <v>0</v>
      </c>
      <c r="F17" s="291">
        <f t="shared" si="1"/>
        <v>0</v>
      </c>
      <c r="G17" s="290">
        <v>0</v>
      </c>
      <c r="H17" s="290">
        <v>0</v>
      </c>
      <c r="I17" s="290">
        <f t="shared" si="2"/>
        <v>0</v>
      </c>
    </row>
    <row r="18" spans="2:9" x14ac:dyDescent="0.25">
      <c r="B18" s="465" t="s">
        <v>1131</v>
      </c>
      <c r="C18" s="558"/>
      <c r="D18" s="319">
        <f>SUM(D19:D27)</f>
        <v>503317</v>
      </c>
      <c r="E18" s="321">
        <f>SUM(E19:E27)</f>
        <v>-9022</v>
      </c>
      <c r="F18" s="230">
        <f t="shared" si="1"/>
        <v>494295</v>
      </c>
      <c r="G18" s="230">
        <f>SUM(G19:G27)</f>
        <v>494295</v>
      </c>
      <c r="H18" s="230">
        <f>SUM(H19:H27)</f>
        <v>494295</v>
      </c>
      <c r="I18" s="364">
        <f>SUM(I19:I27)</f>
        <v>0</v>
      </c>
    </row>
    <row r="19" spans="2:9" x14ac:dyDescent="0.25">
      <c r="B19" s="185"/>
      <c r="C19" s="188" t="s">
        <v>1132</v>
      </c>
      <c r="D19" s="320">
        <v>218673</v>
      </c>
      <c r="E19" s="318">
        <v>-2978</v>
      </c>
      <c r="F19" s="225">
        <f t="shared" si="1"/>
        <v>215695</v>
      </c>
      <c r="G19" s="224">
        <v>215695</v>
      </c>
      <c r="H19" s="224">
        <v>215695</v>
      </c>
      <c r="I19" s="291">
        <f>+F19-G19</f>
        <v>0</v>
      </c>
    </row>
    <row r="20" spans="2:9" x14ac:dyDescent="0.25">
      <c r="B20" s="185"/>
      <c r="C20" s="188" t="s">
        <v>1133</v>
      </c>
      <c r="D20" s="223">
        <v>122169</v>
      </c>
      <c r="E20" s="318">
        <v>-5376</v>
      </c>
      <c r="F20" s="225">
        <f t="shared" si="1"/>
        <v>116793</v>
      </c>
      <c r="G20" s="224">
        <v>116793</v>
      </c>
      <c r="H20" s="224">
        <v>116793</v>
      </c>
      <c r="I20" s="291">
        <f t="shared" ref="I20:I37" si="3">+F20-G20</f>
        <v>0</v>
      </c>
    </row>
    <row r="21" spans="2:9" x14ac:dyDescent="0.25">
      <c r="B21" s="185"/>
      <c r="C21" s="188" t="s">
        <v>1134</v>
      </c>
      <c r="D21" s="289">
        <v>0</v>
      </c>
      <c r="E21" s="295">
        <v>0</v>
      </c>
      <c r="F21" s="291">
        <f t="shared" si="1"/>
        <v>0</v>
      </c>
      <c r="G21" s="295">
        <v>0</v>
      </c>
      <c r="H21" s="295">
        <v>0</v>
      </c>
      <c r="I21" s="291">
        <f t="shared" si="3"/>
        <v>0</v>
      </c>
    </row>
    <row r="22" spans="2:9" x14ac:dyDescent="0.25">
      <c r="B22" s="185"/>
      <c r="C22" s="188" t="s">
        <v>1135</v>
      </c>
      <c r="D22" s="223">
        <v>30807</v>
      </c>
      <c r="E22" s="318">
        <v>41227</v>
      </c>
      <c r="F22" s="225">
        <f t="shared" si="1"/>
        <v>72034</v>
      </c>
      <c r="G22" s="224">
        <v>72034</v>
      </c>
      <c r="H22" s="224">
        <v>72034</v>
      </c>
      <c r="I22" s="291">
        <f t="shared" si="3"/>
        <v>0</v>
      </c>
    </row>
    <row r="23" spans="2:9" x14ac:dyDescent="0.25">
      <c r="B23" s="185"/>
      <c r="C23" s="188" t="s">
        <v>1136</v>
      </c>
      <c r="D23" s="223">
        <v>3800</v>
      </c>
      <c r="E23" s="318">
        <v>-3800</v>
      </c>
      <c r="F23" s="291">
        <f t="shared" si="1"/>
        <v>0</v>
      </c>
      <c r="G23" s="290">
        <v>0</v>
      </c>
      <c r="H23" s="290">
        <v>0</v>
      </c>
      <c r="I23" s="291">
        <f t="shared" si="3"/>
        <v>0</v>
      </c>
    </row>
    <row r="24" spans="2:9" x14ac:dyDescent="0.25">
      <c r="B24" s="185"/>
      <c r="C24" s="188" t="s">
        <v>1137</v>
      </c>
      <c r="D24" s="223">
        <v>90368</v>
      </c>
      <c r="E24" s="318">
        <v>-1755</v>
      </c>
      <c r="F24" s="225">
        <f t="shared" si="1"/>
        <v>88613</v>
      </c>
      <c r="G24" s="224">
        <v>88613</v>
      </c>
      <c r="H24" s="224">
        <v>88613</v>
      </c>
      <c r="I24" s="291">
        <f t="shared" si="3"/>
        <v>0</v>
      </c>
    </row>
    <row r="25" spans="2:9" x14ac:dyDescent="0.25">
      <c r="B25" s="185"/>
      <c r="C25" s="188" t="s">
        <v>1138</v>
      </c>
      <c r="D25" s="223">
        <v>18500</v>
      </c>
      <c r="E25" s="318">
        <v>-17340</v>
      </c>
      <c r="F25" s="225">
        <f t="shared" si="1"/>
        <v>1160</v>
      </c>
      <c r="G25" s="224">
        <v>1160</v>
      </c>
      <c r="H25" s="224">
        <v>1160</v>
      </c>
      <c r="I25" s="291">
        <f t="shared" si="3"/>
        <v>0</v>
      </c>
    </row>
    <row r="26" spans="2:9" x14ac:dyDescent="0.25">
      <c r="B26" s="185"/>
      <c r="C26" s="188" t="s">
        <v>1139</v>
      </c>
      <c r="D26" s="289">
        <v>0</v>
      </c>
      <c r="E26" s="295">
        <v>0</v>
      </c>
      <c r="F26" s="291">
        <f t="shared" si="1"/>
        <v>0</v>
      </c>
      <c r="G26" s="290">
        <v>0</v>
      </c>
      <c r="H26" s="290">
        <v>0</v>
      </c>
      <c r="I26" s="291">
        <f t="shared" si="3"/>
        <v>0</v>
      </c>
    </row>
    <row r="27" spans="2:9" x14ac:dyDescent="0.25">
      <c r="B27" s="185"/>
      <c r="C27" s="188" t="s">
        <v>1140</v>
      </c>
      <c r="D27" s="223">
        <v>19000</v>
      </c>
      <c r="E27" s="318">
        <v>-19000</v>
      </c>
      <c r="F27" s="291">
        <f t="shared" si="1"/>
        <v>0</v>
      </c>
      <c r="G27" s="290">
        <v>0</v>
      </c>
      <c r="H27" s="290">
        <v>0</v>
      </c>
      <c r="I27" s="291">
        <f t="shared" si="3"/>
        <v>0</v>
      </c>
    </row>
    <row r="28" spans="2:9" x14ac:dyDescent="0.25">
      <c r="B28" s="465" t="s">
        <v>1141</v>
      </c>
      <c r="C28" s="558"/>
      <c r="D28" s="229">
        <f>SUM(D29:D37)</f>
        <v>4262515</v>
      </c>
      <c r="E28" s="322">
        <f>SUM(E29:E37)</f>
        <v>9422165</v>
      </c>
      <c r="F28" s="230">
        <f t="shared" si="1"/>
        <v>13684680</v>
      </c>
      <c r="G28" s="230">
        <f>SUM(G29:G37)</f>
        <v>4531034</v>
      </c>
      <c r="H28" s="230">
        <f>SUM(H29:H37)</f>
        <v>4531034</v>
      </c>
      <c r="I28" s="372">
        <f>SUM(I29:I37)</f>
        <v>9153646</v>
      </c>
    </row>
    <row r="29" spans="2:9" x14ac:dyDescent="0.25">
      <c r="B29" s="185"/>
      <c r="C29" s="188" t="s">
        <v>1142</v>
      </c>
      <c r="D29" s="223">
        <v>525057</v>
      </c>
      <c r="E29" s="318">
        <v>-80766</v>
      </c>
      <c r="F29" s="225">
        <f t="shared" si="1"/>
        <v>444291</v>
      </c>
      <c r="G29" s="224">
        <v>444291</v>
      </c>
      <c r="H29" s="224">
        <v>444291</v>
      </c>
      <c r="I29" s="291">
        <f t="shared" si="3"/>
        <v>0</v>
      </c>
    </row>
    <row r="30" spans="2:9" x14ac:dyDescent="0.25">
      <c r="B30" s="185"/>
      <c r="C30" s="188" t="s">
        <v>1143</v>
      </c>
      <c r="D30" s="289">
        <v>0</v>
      </c>
      <c r="E30" s="318">
        <v>13673</v>
      </c>
      <c r="F30" s="291">
        <f t="shared" si="1"/>
        <v>13673</v>
      </c>
      <c r="G30" s="224">
        <v>13673</v>
      </c>
      <c r="H30" s="224">
        <v>13673</v>
      </c>
      <c r="I30" s="291">
        <f t="shared" si="3"/>
        <v>0</v>
      </c>
    </row>
    <row r="31" spans="2:9" x14ac:dyDescent="0.25">
      <c r="B31" s="185"/>
      <c r="C31" s="188" t="s">
        <v>1144</v>
      </c>
      <c r="D31" s="223">
        <v>1127452</v>
      </c>
      <c r="E31" s="318">
        <v>9164746</v>
      </c>
      <c r="F31" s="225">
        <f t="shared" si="1"/>
        <v>10292198</v>
      </c>
      <c r="G31" s="224">
        <v>1138552</v>
      </c>
      <c r="H31" s="224">
        <v>1138552</v>
      </c>
      <c r="I31" s="353">
        <f t="shared" si="3"/>
        <v>9153646</v>
      </c>
    </row>
    <row r="32" spans="2:9" x14ac:dyDescent="0.25">
      <c r="B32" s="185"/>
      <c r="C32" s="188" t="s">
        <v>1145</v>
      </c>
      <c r="D32" s="223">
        <v>90590</v>
      </c>
      <c r="E32" s="318">
        <v>-8118</v>
      </c>
      <c r="F32" s="225">
        <f t="shared" si="1"/>
        <v>82472</v>
      </c>
      <c r="G32" s="224">
        <v>82472</v>
      </c>
      <c r="H32" s="224">
        <v>82472</v>
      </c>
      <c r="I32" s="291">
        <f t="shared" si="3"/>
        <v>0</v>
      </c>
    </row>
    <row r="33" spans="2:9" x14ac:dyDescent="0.25">
      <c r="B33" s="185"/>
      <c r="C33" s="188" t="s">
        <v>1146</v>
      </c>
      <c r="D33" s="223">
        <v>107193</v>
      </c>
      <c r="E33" s="318">
        <v>834</v>
      </c>
      <c r="F33" s="225">
        <f t="shared" si="1"/>
        <v>108027</v>
      </c>
      <c r="G33" s="224">
        <v>108027</v>
      </c>
      <c r="H33" s="224">
        <v>108027</v>
      </c>
      <c r="I33" s="291">
        <f t="shared" si="3"/>
        <v>0</v>
      </c>
    </row>
    <row r="34" spans="2:9" x14ac:dyDescent="0.25">
      <c r="B34" s="185"/>
      <c r="C34" s="188" t="s">
        <v>1147</v>
      </c>
      <c r="D34" s="223">
        <v>20000</v>
      </c>
      <c r="E34" s="318">
        <v>152548</v>
      </c>
      <c r="F34" s="225">
        <f t="shared" si="1"/>
        <v>172548</v>
      </c>
      <c r="G34" s="224">
        <v>172548</v>
      </c>
      <c r="H34" s="224">
        <v>172548</v>
      </c>
      <c r="I34" s="291">
        <f t="shared" si="3"/>
        <v>0</v>
      </c>
    </row>
    <row r="35" spans="2:9" x14ac:dyDescent="0.25">
      <c r="B35" s="185"/>
      <c r="C35" s="188" t="s">
        <v>1148</v>
      </c>
      <c r="D35" s="223">
        <v>169371</v>
      </c>
      <c r="E35" s="318">
        <v>-69845</v>
      </c>
      <c r="F35" s="225">
        <f t="shared" si="1"/>
        <v>99526</v>
      </c>
      <c r="G35" s="224">
        <v>99526</v>
      </c>
      <c r="H35" s="224">
        <v>99526</v>
      </c>
      <c r="I35" s="291">
        <f t="shared" si="3"/>
        <v>0</v>
      </c>
    </row>
    <row r="36" spans="2:9" x14ac:dyDescent="0.25">
      <c r="B36" s="185"/>
      <c r="C36" s="188" t="s">
        <v>1149</v>
      </c>
      <c r="D36" s="223">
        <v>134500</v>
      </c>
      <c r="E36" s="318">
        <v>-91000</v>
      </c>
      <c r="F36" s="225">
        <f t="shared" si="1"/>
        <v>43500</v>
      </c>
      <c r="G36" s="224">
        <v>43500</v>
      </c>
      <c r="H36" s="224">
        <v>43500</v>
      </c>
      <c r="I36" s="291">
        <f t="shared" si="3"/>
        <v>0</v>
      </c>
    </row>
    <row r="37" spans="2:9" x14ac:dyDescent="0.25">
      <c r="B37" s="185"/>
      <c r="C37" s="188" t="s">
        <v>1150</v>
      </c>
      <c r="D37" s="223">
        <v>2088352</v>
      </c>
      <c r="E37" s="318">
        <v>340093</v>
      </c>
      <c r="F37" s="225">
        <f t="shared" si="1"/>
        <v>2428445</v>
      </c>
      <c r="G37" s="224">
        <v>2428445</v>
      </c>
      <c r="H37" s="224">
        <v>2428445</v>
      </c>
      <c r="I37" s="291">
        <f t="shared" si="3"/>
        <v>0</v>
      </c>
    </row>
    <row r="38" spans="2:9" x14ac:dyDescent="0.25">
      <c r="B38" s="465" t="s">
        <v>1151</v>
      </c>
      <c r="C38" s="558"/>
      <c r="D38" s="287">
        <f>SUM(D39:D47)</f>
        <v>0</v>
      </c>
      <c r="E38" s="288">
        <f>SUM(E39:E47)</f>
        <v>0</v>
      </c>
      <c r="F38" s="288">
        <f t="shared" si="1"/>
        <v>0</v>
      </c>
      <c r="G38" s="288">
        <f>SUM(G39:G47)</f>
        <v>0</v>
      </c>
      <c r="H38" s="288">
        <f>SUM(H39:H47)</f>
        <v>0</v>
      </c>
      <c r="I38" s="288">
        <f t="shared" ref="I38:I54" si="4">F38-G38-H38</f>
        <v>0</v>
      </c>
    </row>
    <row r="39" spans="2:9" x14ac:dyDescent="0.25">
      <c r="B39" s="185"/>
      <c r="C39" s="188" t="s">
        <v>1152</v>
      </c>
      <c r="D39" s="307">
        <v>0</v>
      </c>
      <c r="E39" s="308">
        <v>0</v>
      </c>
      <c r="F39" s="309">
        <f t="shared" si="1"/>
        <v>0</v>
      </c>
      <c r="G39" s="308">
        <v>0</v>
      </c>
      <c r="H39" s="308">
        <v>0</v>
      </c>
      <c r="I39" s="309">
        <f t="shared" si="4"/>
        <v>0</v>
      </c>
    </row>
    <row r="40" spans="2:9" x14ac:dyDescent="0.25">
      <c r="B40" s="185"/>
      <c r="C40" s="188" t="s">
        <v>1153</v>
      </c>
      <c r="D40" s="307">
        <v>0</v>
      </c>
      <c r="E40" s="308">
        <v>0</v>
      </c>
      <c r="F40" s="309">
        <f t="shared" si="1"/>
        <v>0</v>
      </c>
      <c r="G40" s="308">
        <v>0</v>
      </c>
      <c r="H40" s="308">
        <v>0</v>
      </c>
      <c r="I40" s="309">
        <f t="shared" si="4"/>
        <v>0</v>
      </c>
    </row>
    <row r="41" spans="2:9" x14ac:dyDescent="0.25">
      <c r="B41" s="185"/>
      <c r="C41" s="188" t="s">
        <v>1154</v>
      </c>
      <c r="D41" s="307">
        <v>0</v>
      </c>
      <c r="E41" s="308">
        <v>0</v>
      </c>
      <c r="F41" s="309">
        <f t="shared" si="1"/>
        <v>0</v>
      </c>
      <c r="G41" s="308">
        <v>0</v>
      </c>
      <c r="H41" s="308">
        <v>0</v>
      </c>
      <c r="I41" s="309">
        <f t="shared" si="4"/>
        <v>0</v>
      </c>
    </row>
    <row r="42" spans="2:9" x14ac:dyDescent="0.25">
      <c r="B42" s="185"/>
      <c r="C42" s="188" t="s">
        <v>1155</v>
      </c>
      <c r="D42" s="307">
        <v>0</v>
      </c>
      <c r="E42" s="308">
        <v>0</v>
      </c>
      <c r="F42" s="309">
        <f t="shared" si="1"/>
        <v>0</v>
      </c>
      <c r="G42" s="308">
        <v>0</v>
      </c>
      <c r="H42" s="308">
        <v>0</v>
      </c>
      <c r="I42" s="309">
        <f t="shared" si="4"/>
        <v>0</v>
      </c>
    </row>
    <row r="43" spans="2:9" x14ac:dyDescent="0.25">
      <c r="B43" s="185"/>
      <c r="C43" s="188" t="s">
        <v>1156</v>
      </c>
      <c r="D43" s="307">
        <v>0</v>
      </c>
      <c r="E43" s="308">
        <v>0</v>
      </c>
      <c r="F43" s="309">
        <f t="shared" si="1"/>
        <v>0</v>
      </c>
      <c r="G43" s="308">
        <v>0</v>
      </c>
      <c r="H43" s="308">
        <v>0</v>
      </c>
      <c r="I43" s="309">
        <f t="shared" si="4"/>
        <v>0</v>
      </c>
    </row>
    <row r="44" spans="2:9" x14ac:dyDescent="0.25">
      <c r="B44" s="185"/>
      <c r="C44" s="188" t="s">
        <v>1157</v>
      </c>
      <c r="D44" s="307">
        <v>0</v>
      </c>
      <c r="E44" s="308">
        <v>0</v>
      </c>
      <c r="F44" s="309">
        <f t="shared" si="1"/>
        <v>0</v>
      </c>
      <c r="G44" s="308">
        <v>0</v>
      </c>
      <c r="H44" s="308">
        <v>0</v>
      </c>
      <c r="I44" s="309">
        <f t="shared" si="4"/>
        <v>0</v>
      </c>
    </row>
    <row r="45" spans="2:9" x14ac:dyDescent="0.25">
      <c r="B45" s="185"/>
      <c r="C45" s="188" t="s">
        <v>1158</v>
      </c>
      <c r="D45" s="307">
        <v>0</v>
      </c>
      <c r="E45" s="308">
        <v>0</v>
      </c>
      <c r="F45" s="309">
        <f t="shared" si="1"/>
        <v>0</v>
      </c>
      <c r="G45" s="308">
        <v>0</v>
      </c>
      <c r="H45" s="308">
        <v>0</v>
      </c>
      <c r="I45" s="309">
        <f t="shared" si="4"/>
        <v>0</v>
      </c>
    </row>
    <row r="46" spans="2:9" x14ac:dyDescent="0.25">
      <c r="B46" s="185"/>
      <c r="C46" s="188" t="s">
        <v>1159</v>
      </c>
      <c r="D46" s="307">
        <v>0</v>
      </c>
      <c r="E46" s="308">
        <v>0</v>
      </c>
      <c r="F46" s="309">
        <f t="shared" si="1"/>
        <v>0</v>
      </c>
      <c r="G46" s="308">
        <v>0</v>
      </c>
      <c r="H46" s="308">
        <v>0</v>
      </c>
      <c r="I46" s="309">
        <f t="shared" si="4"/>
        <v>0</v>
      </c>
    </row>
    <row r="47" spans="2:9" x14ac:dyDescent="0.25">
      <c r="B47" s="185"/>
      <c r="C47" s="188" t="s">
        <v>1160</v>
      </c>
      <c r="D47" s="307">
        <v>0</v>
      </c>
      <c r="E47" s="308">
        <v>0</v>
      </c>
      <c r="F47" s="309">
        <f t="shared" si="1"/>
        <v>0</v>
      </c>
      <c r="G47" s="308">
        <v>0</v>
      </c>
      <c r="H47" s="308">
        <v>0</v>
      </c>
      <c r="I47" s="309">
        <f t="shared" si="4"/>
        <v>0</v>
      </c>
    </row>
    <row r="48" spans="2:9" x14ac:dyDescent="0.25">
      <c r="B48" s="465" t="s">
        <v>1161</v>
      </c>
      <c r="C48" s="558"/>
      <c r="D48" s="229">
        <f>SUM(D49:D57)</f>
        <v>178500</v>
      </c>
      <c r="E48" s="322">
        <f>SUM(E49:E57)</f>
        <v>246330</v>
      </c>
      <c r="F48" s="230">
        <f t="shared" si="1"/>
        <v>424830</v>
      </c>
      <c r="G48" s="322">
        <f>SUM(G49:G57)</f>
        <v>424830</v>
      </c>
      <c r="H48" s="322">
        <f>SUM(H49:H57)</f>
        <v>424830</v>
      </c>
      <c r="I48" s="600">
        <f>SUM(I49:I57)</f>
        <v>0</v>
      </c>
    </row>
    <row r="49" spans="2:9" x14ac:dyDescent="0.25">
      <c r="B49" s="185"/>
      <c r="C49" s="188" t="s">
        <v>1162</v>
      </c>
      <c r="D49" s="223"/>
      <c r="E49" s="318"/>
      <c r="F49" s="225"/>
      <c r="G49" s="224"/>
      <c r="H49" s="224"/>
      <c r="I49" s="291"/>
    </row>
    <row r="50" spans="2:9" x14ac:dyDescent="0.25">
      <c r="B50" s="185"/>
      <c r="C50" s="188" t="s">
        <v>1163</v>
      </c>
      <c r="D50" s="307">
        <v>0</v>
      </c>
      <c r="E50" s="308">
        <v>0</v>
      </c>
      <c r="F50" s="309">
        <f t="shared" si="1"/>
        <v>0</v>
      </c>
      <c r="G50" s="308">
        <v>0</v>
      </c>
      <c r="H50" s="308">
        <v>0</v>
      </c>
      <c r="I50" s="309">
        <f t="shared" si="4"/>
        <v>0</v>
      </c>
    </row>
    <row r="51" spans="2:9" x14ac:dyDescent="0.25">
      <c r="B51" s="185"/>
      <c r="C51" s="188" t="s">
        <v>1164</v>
      </c>
      <c r="D51" s="307">
        <v>0</v>
      </c>
      <c r="E51" s="308">
        <v>0</v>
      </c>
      <c r="F51" s="309">
        <f t="shared" si="1"/>
        <v>0</v>
      </c>
      <c r="G51" s="308">
        <v>0</v>
      </c>
      <c r="H51" s="308">
        <v>0</v>
      </c>
      <c r="I51" s="309">
        <f t="shared" si="4"/>
        <v>0</v>
      </c>
    </row>
    <row r="52" spans="2:9" x14ac:dyDescent="0.25">
      <c r="B52" s="185"/>
      <c r="C52" s="188" t="s">
        <v>1165</v>
      </c>
      <c r="D52" s="365">
        <v>178500</v>
      </c>
      <c r="E52" s="369">
        <v>228900</v>
      </c>
      <c r="F52" s="368">
        <f t="shared" si="1"/>
        <v>407400</v>
      </c>
      <c r="G52" s="369">
        <v>407400</v>
      </c>
      <c r="H52" s="369">
        <v>407400</v>
      </c>
      <c r="I52" s="284">
        <f t="shared" ref="I52:I54" si="5">+F52-G52</f>
        <v>0</v>
      </c>
    </row>
    <row r="53" spans="2:9" x14ac:dyDescent="0.25">
      <c r="B53" s="185"/>
      <c r="C53" s="188" t="s">
        <v>1166</v>
      </c>
      <c r="D53" s="307">
        <v>0</v>
      </c>
      <c r="E53" s="308">
        <v>0</v>
      </c>
      <c r="F53" s="367"/>
      <c r="G53" s="366"/>
      <c r="H53" s="308">
        <v>0</v>
      </c>
      <c r="I53" s="367"/>
    </row>
    <row r="54" spans="2:9" x14ac:dyDescent="0.25">
      <c r="B54" s="185"/>
      <c r="C54" s="188" t="s">
        <v>1167</v>
      </c>
      <c r="D54" s="307">
        <v>0</v>
      </c>
      <c r="E54" s="369">
        <v>17430</v>
      </c>
      <c r="F54" s="368">
        <f t="shared" si="1"/>
        <v>17430</v>
      </c>
      <c r="G54" s="369">
        <v>17430</v>
      </c>
      <c r="H54" s="369">
        <v>17430</v>
      </c>
      <c r="I54" s="284">
        <f t="shared" si="5"/>
        <v>0</v>
      </c>
    </row>
    <row r="55" spans="2:9" x14ac:dyDescent="0.25">
      <c r="B55" s="185"/>
      <c r="C55" s="188" t="s">
        <v>1168</v>
      </c>
      <c r="D55" s="307">
        <v>0</v>
      </c>
      <c r="E55" s="308">
        <v>0</v>
      </c>
      <c r="F55" s="309">
        <f t="shared" ref="F55:F73" si="6">+D55+E55</f>
        <v>0</v>
      </c>
      <c r="G55" s="308">
        <v>0</v>
      </c>
      <c r="H55" s="308">
        <v>0</v>
      </c>
      <c r="I55" s="309">
        <f t="shared" ref="I55:I73" si="7">F55-G55-H55</f>
        <v>0</v>
      </c>
    </row>
    <row r="56" spans="2:9" x14ac:dyDescent="0.25">
      <c r="B56" s="185"/>
      <c r="C56" s="188" t="s">
        <v>1169</v>
      </c>
      <c r="D56" s="307">
        <v>0</v>
      </c>
      <c r="E56" s="308">
        <v>0</v>
      </c>
      <c r="F56" s="309">
        <f t="shared" si="6"/>
        <v>0</v>
      </c>
      <c r="G56" s="308">
        <v>0</v>
      </c>
      <c r="H56" s="308">
        <v>0</v>
      </c>
      <c r="I56" s="309">
        <f t="shared" si="7"/>
        <v>0</v>
      </c>
    </row>
    <row r="57" spans="2:9" x14ac:dyDescent="0.25">
      <c r="B57" s="185"/>
      <c r="C57" s="188" t="s">
        <v>1170</v>
      </c>
      <c r="D57" s="307">
        <v>0</v>
      </c>
      <c r="E57" s="308">
        <v>0</v>
      </c>
      <c r="F57" s="309">
        <f t="shared" si="6"/>
        <v>0</v>
      </c>
      <c r="G57" s="308">
        <v>0</v>
      </c>
      <c r="H57" s="308">
        <v>0</v>
      </c>
      <c r="I57" s="309">
        <f t="shared" si="7"/>
        <v>0</v>
      </c>
    </row>
    <row r="58" spans="2:9" x14ac:dyDescent="0.25">
      <c r="B58" s="465" t="s">
        <v>1171</v>
      </c>
      <c r="C58" s="558"/>
      <c r="D58" s="287">
        <f>SUM(D59:D61)</f>
        <v>0</v>
      </c>
      <c r="E58" s="288">
        <f>SUM(E59:E61)</f>
        <v>0</v>
      </c>
      <c r="F58" s="288">
        <f t="shared" si="6"/>
        <v>0</v>
      </c>
      <c r="G58" s="288">
        <f>SUM(G59:G61)</f>
        <v>0</v>
      </c>
      <c r="H58" s="288">
        <f>SUM(H59:H61)</f>
        <v>0</v>
      </c>
      <c r="I58" s="288">
        <f t="shared" si="7"/>
        <v>0</v>
      </c>
    </row>
    <row r="59" spans="2:9" x14ac:dyDescent="0.25">
      <c r="B59" s="185"/>
      <c r="C59" s="188" t="s">
        <v>1172</v>
      </c>
      <c r="D59" s="307">
        <v>0</v>
      </c>
      <c r="E59" s="308">
        <v>0</v>
      </c>
      <c r="F59" s="309">
        <f t="shared" si="6"/>
        <v>0</v>
      </c>
      <c r="G59" s="308">
        <v>0</v>
      </c>
      <c r="H59" s="308">
        <v>0</v>
      </c>
      <c r="I59" s="309">
        <f t="shared" si="7"/>
        <v>0</v>
      </c>
    </row>
    <row r="60" spans="2:9" x14ac:dyDescent="0.25">
      <c r="B60" s="185"/>
      <c r="C60" s="188" t="s">
        <v>1173</v>
      </c>
      <c r="D60" s="307">
        <v>0</v>
      </c>
      <c r="E60" s="308">
        <v>0</v>
      </c>
      <c r="F60" s="309">
        <f t="shared" si="6"/>
        <v>0</v>
      </c>
      <c r="G60" s="308">
        <v>0</v>
      </c>
      <c r="H60" s="308">
        <v>0</v>
      </c>
      <c r="I60" s="309">
        <f t="shared" si="7"/>
        <v>0</v>
      </c>
    </row>
    <row r="61" spans="2:9" x14ac:dyDescent="0.25">
      <c r="B61" s="185"/>
      <c r="C61" s="188" t="s">
        <v>1174</v>
      </c>
      <c r="D61" s="307">
        <v>0</v>
      </c>
      <c r="E61" s="308">
        <v>0</v>
      </c>
      <c r="F61" s="309">
        <f t="shared" si="6"/>
        <v>0</v>
      </c>
      <c r="G61" s="308">
        <v>0</v>
      </c>
      <c r="H61" s="308">
        <v>0</v>
      </c>
      <c r="I61" s="309">
        <f t="shared" si="7"/>
        <v>0</v>
      </c>
    </row>
    <row r="62" spans="2:9" x14ac:dyDescent="0.25">
      <c r="B62" s="465" t="s">
        <v>1175</v>
      </c>
      <c r="C62" s="558"/>
      <c r="D62" s="287">
        <f>SUM(D63:D69)</f>
        <v>0</v>
      </c>
      <c r="E62" s="288">
        <f>SUM(E63:E69)</f>
        <v>0</v>
      </c>
      <c r="F62" s="288">
        <f t="shared" si="6"/>
        <v>0</v>
      </c>
      <c r="G62" s="288">
        <f>SUM(G63:G69)</f>
        <v>0</v>
      </c>
      <c r="H62" s="288">
        <f>SUM(H63:H69)</f>
        <v>0</v>
      </c>
      <c r="I62" s="288">
        <f t="shared" si="7"/>
        <v>0</v>
      </c>
    </row>
    <row r="63" spans="2:9" x14ac:dyDescent="0.25">
      <c r="B63" s="185"/>
      <c r="C63" s="188" t="s">
        <v>1176</v>
      </c>
      <c r="D63" s="307">
        <v>0</v>
      </c>
      <c r="E63" s="308">
        <v>0</v>
      </c>
      <c r="F63" s="309">
        <f t="shared" si="6"/>
        <v>0</v>
      </c>
      <c r="G63" s="308">
        <v>0</v>
      </c>
      <c r="H63" s="308">
        <v>0</v>
      </c>
      <c r="I63" s="309">
        <f t="shared" si="7"/>
        <v>0</v>
      </c>
    </row>
    <row r="64" spans="2:9" x14ac:dyDescent="0.25">
      <c r="B64" s="185"/>
      <c r="C64" s="188" t="s">
        <v>1177</v>
      </c>
      <c r="D64" s="307">
        <v>0</v>
      </c>
      <c r="E64" s="308">
        <v>0</v>
      </c>
      <c r="F64" s="309">
        <f t="shared" si="6"/>
        <v>0</v>
      </c>
      <c r="G64" s="308">
        <v>0</v>
      </c>
      <c r="H64" s="308">
        <v>0</v>
      </c>
      <c r="I64" s="309">
        <f t="shared" si="7"/>
        <v>0</v>
      </c>
    </row>
    <row r="65" spans="2:10" x14ac:dyDescent="0.25">
      <c r="B65" s="185"/>
      <c r="C65" s="188" t="s">
        <v>1178</v>
      </c>
      <c r="D65" s="307">
        <v>0</v>
      </c>
      <c r="E65" s="308">
        <v>0</v>
      </c>
      <c r="F65" s="309">
        <f t="shared" si="6"/>
        <v>0</v>
      </c>
      <c r="G65" s="308">
        <v>0</v>
      </c>
      <c r="H65" s="308">
        <v>0</v>
      </c>
      <c r="I65" s="309">
        <f t="shared" si="7"/>
        <v>0</v>
      </c>
    </row>
    <row r="66" spans="2:10" x14ac:dyDescent="0.25">
      <c r="B66" s="185"/>
      <c r="C66" s="188" t="s">
        <v>1179</v>
      </c>
      <c r="D66" s="307">
        <v>0</v>
      </c>
      <c r="E66" s="308">
        <v>0</v>
      </c>
      <c r="F66" s="309">
        <f t="shared" si="6"/>
        <v>0</v>
      </c>
      <c r="G66" s="308">
        <v>0</v>
      </c>
      <c r="H66" s="308">
        <v>0</v>
      </c>
      <c r="I66" s="309">
        <f t="shared" si="7"/>
        <v>0</v>
      </c>
    </row>
    <row r="67" spans="2:10" ht="22.5" x14ac:dyDescent="0.25">
      <c r="B67" s="185"/>
      <c r="C67" s="189" t="s">
        <v>1268</v>
      </c>
      <c r="D67" s="307">
        <v>0</v>
      </c>
      <c r="E67" s="308">
        <v>0</v>
      </c>
      <c r="F67" s="309">
        <f t="shared" si="6"/>
        <v>0</v>
      </c>
      <c r="G67" s="308">
        <v>0</v>
      </c>
      <c r="H67" s="308">
        <v>0</v>
      </c>
      <c r="I67" s="309">
        <f t="shared" si="7"/>
        <v>0</v>
      </c>
    </row>
    <row r="68" spans="2:10" x14ac:dyDescent="0.25">
      <c r="B68" s="185"/>
      <c r="C68" s="188" t="s">
        <v>1180</v>
      </c>
      <c r="D68" s="307">
        <v>0</v>
      </c>
      <c r="E68" s="308">
        <v>0</v>
      </c>
      <c r="F68" s="309">
        <f t="shared" si="6"/>
        <v>0</v>
      </c>
      <c r="G68" s="308">
        <v>0</v>
      </c>
      <c r="H68" s="308">
        <v>0</v>
      </c>
      <c r="I68" s="309">
        <f t="shared" si="7"/>
        <v>0</v>
      </c>
    </row>
    <row r="69" spans="2:10" x14ac:dyDescent="0.25">
      <c r="B69" s="185"/>
      <c r="C69" s="188" t="s">
        <v>1181</v>
      </c>
      <c r="D69" s="307">
        <v>0</v>
      </c>
      <c r="E69" s="308">
        <v>0</v>
      </c>
      <c r="F69" s="309">
        <f t="shared" si="6"/>
        <v>0</v>
      </c>
      <c r="G69" s="308">
        <v>0</v>
      </c>
      <c r="H69" s="308">
        <v>0</v>
      </c>
      <c r="I69" s="309">
        <f t="shared" si="7"/>
        <v>0</v>
      </c>
    </row>
    <row r="70" spans="2:10" x14ac:dyDescent="0.25">
      <c r="B70" s="465" t="s">
        <v>1182</v>
      </c>
      <c r="C70" s="558"/>
      <c r="D70" s="287">
        <f>SUM(D71:D73)</f>
        <v>0</v>
      </c>
      <c r="E70" s="288">
        <f>SUM(E71:E73)</f>
        <v>0</v>
      </c>
      <c r="F70" s="288">
        <f t="shared" si="6"/>
        <v>0</v>
      </c>
      <c r="G70" s="288">
        <f>SUM(G71:G73)</f>
        <v>0</v>
      </c>
      <c r="H70" s="288">
        <f>SUM(H71:H73)</f>
        <v>0</v>
      </c>
      <c r="I70" s="288">
        <f t="shared" si="7"/>
        <v>0</v>
      </c>
    </row>
    <row r="71" spans="2:10" x14ac:dyDescent="0.25">
      <c r="B71" s="185"/>
      <c r="C71" s="188" t="s">
        <v>1183</v>
      </c>
      <c r="D71" s="307">
        <v>0</v>
      </c>
      <c r="E71" s="308">
        <v>0</v>
      </c>
      <c r="F71" s="309">
        <f t="shared" si="6"/>
        <v>0</v>
      </c>
      <c r="G71" s="308">
        <v>0</v>
      </c>
      <c r="H71" s="308">
        <v>0</v>
      </c>
      <c r="I71" s="309">
        <f t="shared" si="7"/>
        <v>0</v>
      </c>
    </row>
    <row r="72" spans="2:10" x14ac:dyDescent="0.25">
      <c r="B72" s="185"/>
      <c r="C72" s="188" t="s">
        <v>1184</v>
      </c>
      <c r="D72" s="307">
        <v>0</v>
      </c>
      <c r="E72" s="308">
        <v>0</v>
      </c>
      <c r="F72" s="309">
        <f t="shared" si="6"/>
        <v>0</v>
      </c>
      <c r="G72" s="308">
        <v>0</v>
      </c>
      <c r="H72" s="308">
        <v>0</v>
      </c>
      <c r="I72" s="309">
        <f t="shared" si="7"/>
        <v>0</v>
      </c>
    </row>
    <row r="73" spans="2:10" x14ac:dyDescent="0.25">
      <c r="B73" s="185"/>
      <c r="C73" s="188" t="s">
        <v>1185</v>
      </c>
      <c r="D73" s="307">
        <v>0</v>
      </c>
      <c r="E73" s="308">
        <v>0</v>
      </c>
      <c r="F73" s="309">
        <f t="shared" si="6"/>
        <v>0</v>
      </c>
      <c r="G73" s="308">
        <v>0</v>
      </c>
      <c r="H73" s="308">
        <v>0</v>
      </c>
      <c r="I73" s="309">
        <f t="shared" si="7"/>
        <v>0</v>
      </c>
    </row>
    <row r="74" spans="2:10" x14ac:dyDescent="0.25">
      <c r="B74" s="465" t="s">
        <v>1186</v>
      </c>
      <c r="C74" s="558"/>
      <c r="D74" s="287">
        <f>SUM(D75:D81)</f>
        <v>0</v>
      </c>
      <c r="E74" s="288">
        <f>SUM(E75:E81)</f>
        <v>0</v>
      </c>
      <c r="F74" s="288">
        <f t="shared" ref="F74:F81" si="8">+D74+E74</f>
        <v>0</v>
      </c>
      <c r="G74" s="288">
        <f>SUM(G75:G81)</f>
        <v>0</v>
      </c>
      <c r="H74" s="288">
        <f>SUM(H75:H81)</f>
        <v>0</v>
      </c>
      <c r="I74" s="288">
        <f t="shared" ref="I74:I81" si="9">F74-G74-H74</f>
        <v>0</v>
      </c>
    </row>
    <row r="75" spans="2:10" x14ac:dyDescent="0.25">
      <c r="B75" s="185"/>
      <c r="C75" s="188" t="s">
        <v>1187</v>
      </c>
      <c r="D75" s="307">
        <v>0</v>
      </c>
      <c r="E75" s="308">
        <v>0</v>
      </c>
      <c r="F75" s="309">
        <f t="shared" si="8"/>
        <v>0</v>
      </c>
      <c r="G75" s="308">
        <v>0</v>
      </c>
      <c r="H75" s="308">
        <v>0</v>
      </c>
      <c r="I75" s="309">
        <f t="shared" si="9"/>
        <v>0</v>
      </c>
    </row>
    <row r="76" spans="2:10" x14ac:dyDescent="0.25">
      <c r="B76" s="185"/>
      <c r="C76" s="188" t="s">
        <v>1188</v>
      </c>
      <c r="D76" s="307">
        <v>0</v>
      </c>
      <c r="E76" s="308">
        <v>0</v>
      </c>
      <c r="F76" s="309">
        <f t="shared" si="8"/>
        <v>0</v>
      </c>
      <c r="G76" s="308">
        <v>0</v>
      </c>
      <c r="H76" s="308">
        <v>0</v>
      </c>
      <c r="I76" s="309">
        <f t="shared" si="9"/>
        <v>0</v>
      </c>
    </row>
    <row r="77" spans="2:10" x14ac:dyDescent="0.25">
      <c r="B77" s="185"/>
      <c r="C77" s="188" t="s">
        <v>1189</v>
      </c>
      <c r="D77" s="307">
        <v>0</v>
      </c>
      <c r="E77" s="308">
        <v>0</v>
      </c>
      <c r="F77" s="309">
        <f t="shared" si="8"/>
        <v>0</v>
      </c>
      <c r="G77" s="308">
        <v>0</v>
      </c>
      <c r="H77" s="308">
        <v>0</v>
      </c>
      <c r="I77" s="309">
        <f t="shared" si="9"/>
        <v>0</v>
      </c>
    </row>
    <row r="78" spans="2:10" x14ac:dyDescent="0.25">
      <c r="B78" s="185"/>
      <c r="C78" s="188" t="s">
        <v>1190</v>
      </c>
      <c r="D78" s="307">
        <v>0</v>
      </c>
      <c r="E78" s="308">
        <v>0</v>
      </c>
      <c r="F78" s="309">
        <f t="shared" si="8"/>
        <v>0</v>
      </c>
      <c r="G78" s="308">
        <v>0</v>
      </c>
      <c r="H78" s="308">
        <v>0</v>
      </c>
      <c r="I78" s="309">
        <f t="shared" si="9"/>
        <v>0</v>
      </c>
    </row>
    <row r="79" spans="2:10" x14ac:dyDescent="0.25">
      <c r="B79" s="185"/>
      <c r="C79" s="188" t="s">
        <v>1191</v>
      </c>
      <c r="D79" s="307">
        <v>0</v>
      </c>
      <c r="E79" s="308">
        <v>0</v>
      </c>
      <c r="F79" s="309">
        <f t="shared" si="8"/>
        <v>0</v>
      </c>
      <c r="G79" s="308">
        <v>0</v>
      </c>
      <c r="H79" s="308">
        <v>0</v>
      </c>
      <c r="I79" s="309">
        <f t="shared" si="9"/>
        <v>0</v>
      </c>
      <c r="J79" s="123"/>
    </row>
    <row r="80" spans="2:10" x14ac:dyDescent="0.25">
      <c r="B80" s="185"/>
      <c r="C80" s="188" t="s">
        <v>1192</v>
      </c>
      <c r="D80" s="307">
        <v>0</v>
      </c>
      <c r="E80" s="308">
        <v>0</v>
      </c>
      <c r="F80" s="309">
        <f t="shared" si="8"/>
        <v>0</v>
      </c>
      <c r="G80" s="308">
        <v>0</v>
      </c>
      <c r="H80" s="308">
        <v>0</v>
      </c>
      <c r="I80" s="309">
        <f t="shared" si="9"/>
        <v>0</v>
      </c>
      <c r="J80" s="123"/>
    </row>
    <row r="81" spans="1:10" x14ac:dyDescent="0.25">
      <c r="B81" s="185"/>
      <c r="C81" s="188" t="s">
        <v>1193</v>
      </c>
      <c r="D81" s="307">
        <v>0</v>
      </c>
      <c r="E81" s="308">
        <v>0</v>
      </c>
      <c r="F81" s="309">
        <f t="shared" si="8"/>
        <v>0</v>
      </c>
      <c r="G81" s="308">
        <v>0</v>
      </c>
      <c r="H81" s="308">
        <v>0</v>
      </c>
      <c r="I81" s="373">
        <f t="shared" si="9"/>
        <v>0</v>
      </c>
      <c r="J81" s="123"/>
    </row>
    <row r="82" spans="1:10" ht="15.75" thickBot="1" x14ac:dyDescent="0.3">
      <c r="A82" s="346"/>
      <c r="B82" s="203"/>
      <c r="C82" s="348"/>
      <c r="D82" s="346"/>
      <c r="E82" s="203"/>
      <c r="F82" s="203"/>
      <c r="G82" s="349"/>
      <c r="H82" s="350"/>
      <c r="I82" s="349"/>
      <c r="J82" s="203"/>
    </row>
    <row r="83" spans="1:10" x14ac:dyDescent="0.25">
      <c r="A83" s="346"/>
      <c r="B83" s="347"/>
      <c r="C83" s="347"/>
      <c r="D83" s="347"/>
      <c r="E83" s="347"/>
      <c r="F83" s="347"/>
      <c r="G83" s="347"/>
      <c r="H83" s="346"/>
      <c r="I83" s="346"/>
      <c r="J83" s="346"/>
    </row>
    <row r="84" spans="1:10" x14ac:dyDescent="0.25">
      <c r="A84" s="346"/>
      <c r="B84" s="346"/>
      <c r="C84" s="346"/>
      <c r="D84" s="346"/>
      <c r="E84" s="346"/>
      <c r="F84" s="346"/>
      <c r="G84" s="346"/>
      <c r="H84" s="346"/>
      <c r="I84" s="346"/>
      <c r="J84" s="346"/>
    </row>
    <row r="85" spans="1:10" x14ac:dyDescent="0.25">
      <c r="A85" s="346"/>
      <c r="B85" s="346"/>
      <c r="C85" s="346"/>
      <c r="D85" s="346"/>
      <c r="E85" s="346"/>
      <c r="F85" s="346"/>
      <c r="G85" s="346"/>
      <c r="H85" s="346"/>
      <c r="I85" s="346"/>
      <c r="J85" s="346"/>
    </row>
    <row r="86" spans="1:10" ht="15.75" thickBot="1" x14ac:dyDescent="0.3">
      <c r="A86" s="346"/>
      <c r="B86" s="346"/>
      <c r="C86" s="346"/>
      <c r="D86" s="346"/>
      <c r="E86" s="346"/>
      <c r="F86" s="346"/>
      <c r="G86" s="346"/>
      <c r="H86" s="346"/>
      <c r="I86" s="346"/>
      <c r="J86" s="346"/>
    </row>
    <row r="87" spans="1:10" x14ac:dyDescent="0.25">
      <c r="B87" s="467" t="s">
        <v>1122</v>
      </c>
      <c r="C87" s="468"/>
      <c r="D87" s="326">
        <f t="shared" ref="D87:I87" si="10">D88+D96+D106+D116+D126+D136+D140+D148+D152</f>
        <v>0</v>
      </c>
      <c r="E87" s="326">
        <f t="shared" si="10"/>
        <v>0</v>
      </c>
      <c r="F87" s="326">
        <f t="shared" si="10"/>
        <v>0</v>
      </c>
      <c r="G87" s="326">
        <f t="shared" si="10"/>
        <v>0</v>
      </c>
      <c r="H87" s="326">
        <f t="shared" si="10"/>
        <v>0</v>
      </c>
      <c r="I87" s="326">
        <f t="shared" si="10"/>
        <v>0</v>
      </c>
    </row>
    <row r="88" spans="1:10" x14ac:dyDescent="0.25">
      <c r="B88" s="465" t="s">
        <v>1123</v>
      </c>
      <c r="C88" s="558"/>
      <c r="D88" s="287">
        <f>SUM(D89:D95)</f>
        <v>0</v>
      </c>
      <c r="E88" s="288">
        <f>SUM(E89:E95)</f>
        <v>0</v>
      </c>
      <c r="F88" s="288">
        <f t="shared" ref="F88:F151" si="11">+D88+E88</f>
        <v>0</v>
      </c>
      <c r="G88" s="288">
        <f>SUM(G89:G95)</f>
        <v>0</v>
      </c>
      <c r="H88" s="288">
        <f>SUM(H89:H95)</f>
        <v>0</v>
      </c>
      <c r="I88" s="288">
        <f t="shared" ref="I88:I151" si="12">F88-G88-H88</f>
        <v>0</v>
      </c>
    </row>
    <row r="89" spans="1:10" x14ac:dyDescent="0.25">
      <c r="B89" s="185"/>
      <c r="C89" s="188" t="s">
        <v>1124</v>
      </c>
      <c r="D89" s="307">
        <v>0</v>
      </c>
      <c r="E89" s="308">
        <v>0</v>
      </c>
      <c r="F89" s="309">
        <f t="shared" si="11"/>
        <v>0</v>
      </c>
      <c r="G89" s="308">
        <v>0</v>
      </c>
      <c r="H89" s="308">
        <v>0</v>
      </c>
      <c r="I89" s="309">
        <f t="shared" si="12"/>
        <v>0</v>
      </c>
    </row>
    <row r="90" spans="1:10" x14ac:dyDescent="0.25">
      <c r="B90" s="185"/>
      <c r="C90" s="188" t="s">
        <v>1125</v>
      </c>
      <c r="D90" s="307">
        <v>0</v>
      </c>
      <c r="E90" s="308">
        <v>0</v>
      </c>
      <c r="F90" s="309">
        <f t="shared" si="11"/>
        <v>0</v>
      </c>
      <c r="G90" s="308">
        <v>0</v>
      </c>
      <c r="H90" s="308">
        <v>0</v>
      </c>
      <c r="I90" s="309">
        <f t="shared" si="12"/>
        <v>0</v>
      </c>
    </row>
    <row r="91" spans="1:10" x14ac:dyDescent="0.25">
      <c r="B91" s="185"/>
      <c r="C91" s="188" t="s">
        <v>1126</v>
      </c>
      <c r="D91" s="307">
        <v>0</v>
      </c>
      <c r="E91" s="308">
        <v>0</v>
      </c>
      <c r="F91" s="309">
        <f t="shared" si="11"/>
        <v>0</v>
      </c>
      <c r="G91" s="308">
        <v>0</v>
      </c>
      <c r="H91" s="308">
        <v>0</v>
      </c>
      <c r="I91" s="309">
        <f t="shared" si="12"/>
        <v>0</v>
      </c>
    </row>
    <row r="92" spans="1:10" x14ac:dyDescent="0.25">
      <c r="B92" s="185"/>
      <c r="C92" s="188" t="s">
        <v>1127</v>
      </c>
      <c r="D92" s="307">
        <v>0</v>
      </c>
      <c r="E92" s="308">
        <v>0</v>
      </c>
      <c r="F92" s="309">
        <f t="shared" si="11"/>
        <v>0</v>
      </c>
      <c r="G92" s="308">
        <v>0</v>
      </c>
      <c r="H92" s="308">
        <v>0</v>
      </c>
      <c r="I92" s="309">
        <f t="shared" si="12"/>
        <v>0</v>
      </c>
    </row>
    <row r="93" spans="1:10" x14ac:dyDescent="0.25">
      <c r="B93" s="185"/>
      <c r="C93" s="188" t="s">
        <v>1128</v>
      </c>
      <c r="D93" s="307">
        <v>0</v>
      </c>
      <c r="E93" s="308">
        <v>0</v>
      </c>
      <c r="F93" s="309">
        <f t="shared" si="11"/>
        <v>0</v>
      </c>
      <c r="G93" s="308">
        <v>0</v>
      </c>
      <c r="H93" s="308">
        <v>0</v>
      </c>
      <c r="I93" s="309">
        <f t="shared" si="12"/>
        <v>0</v>
      </c>
    </row>
    <row r="94" spans="1:10" x14ac:dyDescent="0.25">
      <c r="B94" s="185"/>
      <c r="C94" s="188" t="s">
        <v>1129</v>
      </c>
      <c r="D94" s="307">
        <v>0</v>
      </c>
      <c r="E94" s="308">
        <v>0</v>
      </c>
      <c r="F94" s="309">
        <f t="shared" si="11"/>
        <v>0</v>
      </c>
      <c r="G94" s="308">
        <v>0</v>
      </c>
      <c r="H94" s="308">
        <v>0</v>
      </c>
      <c r="I94" s="309">
        <f t="shared" si="12"/>
        <v>0</v>
      </c>
    </row>
    <row r="95" spans="1:10" x14ac:dyDescent="0.25">
      <c r="B95" s="185"/>
      <c r="C95" s="188" t="s">
        <v>1130</v>
      </c>
      <c r="D95" s="307">
        <v>0</v>
      </c>
      <c r="E95" s="308">
        <v>0</v>
      </c>
      <c r="F95" s="309">
        <f t="shared" si="11"/>
        <v>0</v>
      </c>
      <c r="G95" s="308">
        <v>0</v>
      </c>
      <c r="H95" s="308">
        <v>0</v>
      </c>
      <c r="I95" s="309">
        <f t="shared" si="12"/>
        <v>0</v>
      </c>
    </row>
    <row r="96" spans="1:10" x14ac:dyDescent="0.25">
      <c r="B96" s="465" t="s">
        <v>1131</v>
      </c>
      <c r="C96" s="558"/>
      <c r="D96" s="287">
        <f>SUM(D97:D105)</f>
        <v>0</v>
      </c>
      <c r="E96" s="288">
        <f>SUM(E97:E105)</f>
        <v>0</v>
      </c>
      <c r="F96" s="288">
        <f t="shared" si="11"/>
        <v>0</v>
      </c>
      <c r="G96" s="288">
        <f>SUM(G97:G105)</f>
        <v>0</v>
      </c>
      <c r="H96" s="288">
        <f>SUM(H97:H105)</f>
        <v>0</v>
      </c>
      <c r="I96" s="288">
        <f t="shared" si="12"/>
        <v>0</v>
      </c>
    </row>
    <row r="97" spans="2:9" x14ac:dyDescent="0.25">
      <c r="B97" s="185"/>
      <c r="C97" s="188" t="s">
        <v>1132</v>
      </c>
      <c r="D97" s="307">
        <v>0</v>
      </c>
      <c r="E97" s="308">
        <v>0</v>
      </c>
      <c r="F97" s="309">
        <f t="shared" si="11"/>
        <v>0</v>
      </c>
      <c r="G97" s="308">
        <v>0</v>
      </c>
      <c r="H97" s="308">
        <v>0</v>
      </c>
      <c r="I97" s="309">
        <f t="shared" si="12"/>
        <v>0</v>
      </c>
    </row>
    <row r="98" spans="2:9" x14ac:dyDescent="0.25">
      <c r="B98" s="185"/>
      <c r="C98" s="188" t="s">
        <v>1133</v>
      </c>
      <c r="D98" s="307">
        <v>0</v>
      </c>
      <c r="E98" s="308">
        <v>0</v>
      </c>
      <c r="F98" s="309">
        <f t="shared" si="11"/>
        <v>0</v>
      </c>
      <c r="G98" s="308">
        <v>0</v>
      </c>
      <c r="H98" s="308">
        <v>0</v>
      </c>
      <c r="I98" s="309">
        <f t="shared" si="12"/>
        <v>0</v>
      </c>
    </row>
    <row r="99" spans="2:9" x14ac:dyDescent="0.25">
      <c r="B99" s="185"/>
      <c r="C99" s="188" t="s">
        <v>1134</v>
      </c>
      <c r="D99" s="307">
        <v>0</v>
      </c>
      <c r="E99" s="308">
        <v>0</v>
      </c>
      <c r="F99" s="309">
        <f t="shared" si="11"/>
        <v>0</v>
      </c>
      <c r="G99" s="308">
        <v>0</v>
      </c>
      <c r="H99" s="308">
        <v>0</v>
      </c>
      <c r="I99" s="309">
        <f t="shared" si="12"/>
        <v>0</v>
      </c>
    </row>
    <row r="100" spans="2:9" x14ac:dyDescent="0.25">
      <c r="B100" s="185"/>
      <c r="C100" s="188" t="s">
        <v>1135</v>
      </c>
      <c r="D100" s="307">
        <v>0</v>
      </c>
      <c r="E100" s="308">
        <v>0</v>
      </c>
      <c r="F100" s="309">
        <f t="shared" si="11"/>
        <v>0</v>
      </c>
      <c r="G100" s="308">
        <v>0</v>
      </c>
      <c r="H100" s="308">
        <v>0</v>
      </c>
      <c r="I100" s="309">
        <f t="shared" si="12"/>
        <v>0</v>
      </c>
    </row>
    <row r="101" spans="2:9" x14ac:dyDescent="0.25">
      <c r="B101" s="185"/>
      <c r="C101" s="188" t="s">
        <v>1136</v>
      </c>
      <c r="D101" s="307">
        <v>0</v>
      </c>
      <c r="E101" s="308">
        <v>0</v>
      </c>
      <c r="F101" s="309">
        <f t="shared" si="11"/>
        <v>0</v>
      </c>
      <c r="G101" s="308">
        <v>0</v>
      </c>
      <c r="H101" s="308">
        <v>0</v>
      </c>
      <c r="I101" s="309">
        <f t="shared" si="12"/>
        <v>0</v>
      </c>
    </row>
    <row r="102" spans="2:9" x14ac:dyDescent="0.25">
      <c r="B102" s="185"/>
      <c r="C102" s="188" t="s">
        <v>1137</v>
      </c>
      <c r="D102" s="307">
        <v>0</v>
      </c>
      <c r="E102" s="308">
        <v>0</v>
      </c>
      <c r="F102" s="309">
        <f t="shared" si="11"/>
        <v>0</v>
      </c>
      <c r="G102" s="308">
        <v>0</v>
      </c>
      <c r="H102" s="308">
        <v>0</v>
      </c>
      <c r="I102" s="309">
        <f t="shared" si="12"/>
        <v>0</v>
      </c>
    </row>
    <row r="103" spans="2:9" x14ac:dyDescent="0.25">
      <c r="B103" s="185"/>
      <c r="C103" s="188" t="s">
        <v>1138</v>
      </c>
      <c r="D103" s="307">
        <v>0</v>
      </c>
      <c r="E103" s="308">
        <v>0</v>
      </c>
      <c r="F103" s="309">
        <f t="shared" si="11"/>
        <v>0</v>
      </c>
      <c r="G103" s="308">
        <v>0</v>
      </c>
      <c r="H103" s="308">
        <v>0</v>
      </c>
      <c r="I103" s="309">
        <f t="shared" si="12"/>
        <v>0</v>
      </c>
    </row>
    <row r="104" spans="2:9" x14ac:dyDescent="0.25">
      <c r="B104" s="185"/>
      <c r="C104" s="188" t="s">
        <v>1139</v>
      </c>
      <c r="D104" s="307">
        <v>0</v>
      </c>
      <c r="E104" s="308">
        <v>0</v>
      </c>
      <c r="F104" s="309">
        <f t="shared" si="11"/>
        <v>0</v>
      </c>
      <c r="G104" s="308">
        <v>0</v>
      </c>
      <c r="H104" s="308">
        <v>0</v>
      </c>
      <c r="I104" s="309">
        <f t="shared" si="12"/>
        <v>0</v>
      </c>
    </row>
    <row r="105" spans="2:9" x14ac:dyDescent="0.25">
      <c r="B105" s="185"/>
      <c r="C105" s="188" t="s">
        <v>1140</v>
      </c>
      <c r="D105" s="307">
        <v>0</v>
      </c>
      <c r="E105" s="308">
        <v>0</v>
      </c>
      <c r="F105" s="309">
        <f t="shared" si="11"/>
        <v>0</v>
      </c>
      <c r="G105" s="308">
        <v>0</v>
      </c>
      <c r="H105" s="308">
        <v>0</v>
      </c>
      <c r="I105" s="309">
        <f t="shared" si="12"/>
        <v>0</v>
      </c>
    </row>
    <row r="106" spans="2:9" x14ac:dyDescent="0.25">
      <c r="B106" s="465" t="s">
        <v>1141</v>
      </c>
      <c r="C106" s="558"/>
      <c r="D106" s="287">
        <f>SUM(D107:D115)</f>
        <v>0</v>
      </c>
      <c r="E106" s="288">
        <f>SUM(E107:E115)</f>
        <v>0</v>
      </c>
      <c r="F106" s="288">
        <f t="shared" si="11"/>
        <v>0</v>
      </c>
      <c r="G106" s="288">
        <f>SUM(G107:G115)</f>
        <v>0</v>
      </c>
      <c r="H106" s="288">
        <f>SUM(H107:H115)</f>
        <v>0</v>
      </c>
      <c r="I106" s="288">
        <f t="shared" si="12"/>
        <v>0</v>
      </c>
    </row>
    <row r="107" spans="2:9" x14ac:dyDescent="0.25">
      <c r="B107" s="185"/>
      <c r="C107" s="188" t="s">
        <v>1142</v>
      </c>
      <c r="D107" s="307">
        <v>0</v>
      </c>
      <c r="E107" s="308">
        <v>0</v>
      </c>
      <c r="F107" s="309">
        <f t="shared" si="11"/>
        <v>0</v>
      </c>
      <c r="G107" s="308">
        <v>0</v>
      </c>
      <c r="H107" s="308">
        <v>0</v>
      </c>
      <c r="I107" s="309">
        <f t="shared" si="12"/>
        <v>0</v>
      </c>
    </row>
    <row r="108" spans="2:9" x14ac:dyDescent="0.25">
      <c r="B108" s="185"/>
      <c r="C108" s="188" t="s">
        <v>1143</v>
      </c>
      <c r="D108" s="307">
        <v>0</v>
      </c>
      <c r="E108" s="308">
        <v>0</v>
      </c>
      <c r="F108" s="309">
        <f t="shared" si="11"/>
        <v>0</v>
      </c>
      <c r="G108" s="308">
        <v>0</v>
      </c>
      <c r="H108" s="308">
        <v>0</v>
      </c>
      <c r="I108" s="309">
        <f t="shared" si="12"/>
        <v>0</v>
      </c>
    </row>
    <row r="109" spans="2:9" x14ac:dyDescent="0.25">
      <c r="B109" s="185"/>
      <c r="C109" s="188" t="s">
        <v>1144</v>
      </c>
      <c r="D109" s="307">
        <v>0</v>
      </c>
      <c r="E109" s="308">
        <v>0</v>
      </c>
      <c r="F109" s="309">
        <f t="shared" si="11"/>
        <v>0</v>
      </c>
      <c r="G109" s="308">
        <v>0</v>
      </c>
      <c r="H109" s="308">
        <v>0</v>
      </c>
      <c r="I109" s="309">
        <f t="shared" si="12"/>
        <v>0</v>
      </c>
    </row>
    <row r="110" spans="2:9" x14ac:dyDescent="0.25">
      <c r="B110" s="185"/>
      <c r="C110" s="188" t="s">
        <v>1145</v>
      </c>
      <c r="D110" s="307">
        <v>0</v>
      </c>
      <c r="E110" s="308">
        <v>0</v>
      </c>
      <c r="F110" s="309">
        <f t="shared" si="11"/>
        <v>0</v>
      </c>
      <c r="G110" s="308">
        <v>0</v>
      </c>
      <c r="H110" s="308">
        <v>0</v>
      </c>
      <c r="I110" s="309">
        <f t="shared" si="12"/>
        <v>0</v>
      </c>
    </row>
    <row r="111" spans="2:9" x14ac:dyDescent="0.25">
      <c r="B111" s="185"/>
      <c r="C111" s="188" t="s">
        <v>1146</v>
      </c>
      <c r="D111" s="307">
        <v>0</v>
      </c>
      <c r="E111" s="308">
        <v>0</v>
      </c>
      <c r="F111" s="309">
        <f t="shared" si="11"/>
        <v>0</v>
      </c>
      <c r="G111" s="308">
        <v>0</v>
      </c>
      <c r="H111" s="308">
        <v>0</v>
      </c>
      <c r="I111" s="309">
        <f t="shared" si="12"/>
        <v>0</v>
      </c>
    </row>
    <row r="112" spans="2:9" x14ac:dyDescent="0.25">
      <c r="B112" s="185"/>
      <c r="C112" s="188" t="s">
        <v>1147</v>
      </c>
      <c r="D112" s="307">
        <v>0</v>
      </c>
      <c r="E112" s="308">
        <v>0</v>
      </c>
      <c r="F112" s="309">
        <f t="shared" si="11"/>
        <v>0</v>
      </c>
      <c r="G112" s="308">
        <v>0</v>
      </c>
      <c r="H112" s="308">
        <v>0</v>
      </c>
      <c r="I112" s="309">
        <f t="shared" si="12"/>
        <v>0</v>
      </c>
    </row>
    <row r="113" spans="2:9" x14ac:dyDescent="0.25">
      <c r="B113" s="185"/>
      <c r="C113" s="188" t="s">
        <v>1148</v>
      </c>
      <c r="D113" s="307">
        <v>0</v>
      </c>
      <c r="E113" s="308">
        <v>0</v>
      </c>
      <c r="F113" s="309">
        <f t="shared" si="11"/>
        <v>0</v>
      </c>
      <c r="G113" s="308">
        <v>0</v>
      </c>
      <c r="H113" s="308">
        <v>0</v>
      </c>
      <c r="I113" s="309">
        <f t="shared" si="12"/>
        <v>0</v>
      </c>
    </row>
    <row r="114" spans="2:9" x14ac:dyDescent="0.25">
      <c r="B114" s="185"/>
      <c r="C114" s="188" t="s">
        <v>1149</v>
      </c>
      <c r="D114" s="307">
        <v>0</v>
      </c>
      <c r="E114" s="308">
        <v>0</v>
      </c>
      <c r="F114" s="309">
        <f t="shared" si="11"/>
        <v>0</v>
      </c>
      <c r="G114" s="308">
        <v>0</v>
      </c>
      <c r="H114" s="308">
        <v>0</v>
      </c>
      <c r="I114" s="309">
        <f t="shared" si="12"/>
        <v>0</v>
      </c>
    </row>
    <row r="115" spans="2:9" x14ac:dyDescent="0.25">
      <c r="B115" s="185"/>
      <c r="C115" s="188" t="s">
        <v>1150</v>
      </c>
      <c r="D115" s="307">
        <v>0</v>
      </c>
      <c r="E115" s="308">
        <v>0</v>
      </c>
      <c r="F115" s="309">
        <f t="shared" si="11"/>
        <v>0</v>
      </c>
      <c r="G115" s="308">
        <v>0</v>
      </c>
      <c r="H115" s="308">
        <v>0</v>
      </c>
      <c r="I115" s="309">
        <f t="shared" si="12"/>
        <v>0</v>
      </c>
    </row>
    <row r="116" spans="2:9" x14ac:dyDescent="0.25">
      <c r="B116" s="465" t="s">
        <v>1151</v>
      </c>
      <c r="C116" s="558"/>
      <c r="D116" s="287">
        <f>SUM(D117:D125)</f>
        <v>0</v>
      </c>
      <c r="E116" s="288">
        <f>SUM(E117:E125)</f>
        <v>0</v>
      </c>
      <c r="F116" s="288">
        <f t="shared" si="11"/>
        <v>0</v>
      </c>
      <c r="G116" s="288">
        <f>SUM(G117:G125)</f>
        <v>0</v>
      </c>
      <c r="H116" s="288">
        <f>SUM(H117:H125)</f>
        <v>0</v>
      </c>
      <c r="I116" s="288">
        <f t="shared" si="12"/>
        <v>0</v>
      </c>
    </row>
    <row r="117" spans="2:9" x14ac:dyDescent="0.25">
      <c r="B117" s="185"/>
      <c r="C117" s="188" t="s">
        <v>1152</v>
      </c>
      <c r="D117" s="307">
        <v>0</v>
      </c>
      <c r="E117" s="308">
        <v>0</v>
      </c>
      <c r="F117" s="309">
        <f t="shared" si="11"/>
        <v>0</v>
      </c>
      <c r="G117" s="308">
        <v>0</v>
      </c>
      <c r="H117" s="308">
        <v>0</v>
      </c>
      <c r="I117" s="309">
        <f t="shared" si="12"/>
        <v>0</v>
      </c>
    </row>
    <row r="118" spans="2:9" x14ac:dyDescent="0.25">
      <c r="B118" s="185"/>
      <c r="C118" s="188" t="s">
        <v>1153</v>
      </c>
      <c r="D118" s="307">
        <v>0</v>
      </c>
      <c r="E118" s="308">
        <v>0</v>
      </c>
      <c r="F118" s="309">
        <f t="shared" si="11"/>
        <v>0</v>
      </c>
      <c r="G118" s="308">
        <v>0</v>
      </c>
      <c r="H118" s="308">
        <v>0</v>
      </c>
      <c r="I118" s="309">
        <f t="shared" si="12"/>
        <v>0</v>
      </c>
    </row>
    <row r="119" spans="2:9" x14ac:dyDescent="0.25">
      <c r="B119" s="185"/>
      <c r="C119" s="188" t="s">
        <v>1154</v>
      </c>
      <c r="D119" s="307">
        <v>0</v>
      </c>
      <c r="E119" s="308">
        <v>0</v>
      </c>
      <c r="F119" s="309">
        <f t="shared" si="11"/>
        <v>0</v>
      </c>
      <c r="G119" s="308">
        <v>0</v>
      </c>
      <c r="H119" s="308">
        <v>0</v>
      </c>
      <c r="I119" s="309">
        <f t="shared" si="12"/>
        <v>0</v>
      </c>
    </row>
    <row r="120" spans="2:9" x14ac:dyDescent="0.25">
      <c r="B120" s="185"/>
      <c r="C120" s="188" t="s">
        <v>1155</v>
      </c>
      <c r="D120" s="307">
        <v>0</v>
      </c>
      <c r="E120" s="308">
        <v>0</v>
      </c>
      <c r="F120" s="309">
        <f t="shared" si="11"/>
        <v>0</v>
      </c>
      <c r="G120" s="308">
        <v>0</v>
      </c>
      <c r="H120" s="308">
        <v>0</v>
      </c>
      <c r="I120" s="309">
        <f t="shared" si="12"/>
        <v>0</v>
      </c>
    </row>
    <row r="121" spans="2:9" x14ac:dyDescent="0.25">
      <c r="B121" s="185"/>
      <c r="C121" s="188" t="s">
        <v>1156</v>
      </c>
      <c r="D121" s="307">
        <v>0</v>
      </c>
      <c r="E121" s="308">
        <v>0</v>
      </c>
      <c r="F121" s="309">
        <f t="shared" si="11"/>
        <v>0</v>
      </c>
      <c r="G121" s="308">
        <v>0</v>
      </c>
      <c r="H121" s="308">
        <v>0</v>
      </c>
      <c r="I121" s="309">
        <f t="shared" si="12"/>
        <v>0</v>
      </c>
    </row>
    <row r="122" spans="2:9" x14ac:dyDescent="0.25">
      <c r="B122" s="185"/>
      <c r="C122" s="188" t="s">
        <v>1157</v>
      </c>
      <c r="D122" s="307">
        <v>0</v>
      </c>
      <c r="E122" s="308">
        <v>0</v>
      </c>
      <c r="F122" s="309">
        <f t="shared" si="11"/>
        <v>0</v>
      </c>
      <c r="G122" s="308">
        <v>0</v>
      </c>
      <c r="H122" s="308">
        <v>0</v>
      </c>
      <c r="I122" s="309">
        <f t="shared" si="12"/>
        <v>0</v>
      </c>
    </row>
    <row r="123" spans="2:9" x14ac:dyDescent="0.25">
      <c r="B123" s="185"/>
      <c r="C123" s="188" t="s">
        <v>1158</v>
      </c>
      <c r="D123" s="307">
        <v>0</v>
      </c>
      <c r="E123" s="308">
        <v>0</v>
      </c>
      <c r="F123" s="309">
        <f t="shared" si="11"/>
        <v>0</v>
      </c>
      <c r="G123" s="308">
        <v>0</v>
      </c>
      <c r="H123" s="308">
        <v>0</v>
      </c>
      <c r="I123" s="309">
        <f t="shared" si="12"/>
        <v>0</v>
      </c>
    </row>
    <row r="124" spans="2:9" x14ac:dyDescent="0.25">
      <c r="B124" s="185"/>
      <c r="C124" s="188" t="s">
        <v>1159</v>
      </c>
      <c r="D124" s="307">
        <v>0</v>
      </c>
      <c r="E124" s="308">
        <v>0</v>
      </c>
      <c r="F124" s="309">
        <f t="shared" si="11"/>
        <v>0</v>
      </c>
      <c r="G124" s="308">
        <v>0</v>
      </c>
      <c r="H124" s="308">
        <v>0</v>
      </c>
      <c r="I124" s="309">
        <f t="shared" si="12"/>
        <v>0</v>
      </c>
    </row>
    <row r="125" spans="2:9" x14ac:dyDescent="0.25">
      <c r="B125" s="185"/>
      <c r="C125" s="188" t="s">
        <v>1160</v>
      </c>
      <c r="D125" s="307">
        <v>0</v>
      </c>
      <c r="E125" s="308">
        <v>0</v>
      </c>
      <c r="F125" s="309">
        <f t="shared" si="11"/>
        <v>0</v>
      </c>
      <c r="G125" s="308">
        <v>0</v>
      </c>
      <c r="H125" s="308">
        <v>0</v>
      </c>
      <c r="I125" s="309">
        <f t="shared" si="12"/>
        <v>0</v>
      </c>
    </row>
    <row r="126" spans="2:9" x14ac:dyDescent="0.25">
      <c r="B126" s="465" t="s">
        <v>1161</v>
      </c>
      <c r="C126" s="558"/>
      <c r="D126" s="287">
        <f>SUM(D127:D135)</f>
        <v>0</v>
      </c>
      <c r="E126" s="288">
        <f>SUM(E127:E135)</f>
        <v>0</v>
      </c>
      <c r="F126" s="288">
        <f t="shared" si="11"/>
        <v>0</v>
      </c>
      <c r="G126" s="288">
        <f>SUM(G127:G135)</f>
        <v>0</v>
      </c>
      <c r="H126" s="288">
        <f>SUM(H127:H135)</f>
        <v>0</v>
      </c>
      <c r="I126" s="288">
        <f t="shared" si="12"/>
        <v>0</v>
      </c>
    </row>
    <row r="127" spans="2:9" x14ac:dyDescent="0.25">
      <c r="B127" s="185"/>
      <c r="C127" s="188" t="s">
        <v>1162</v>
      </c>
      <c r="D127" s="307">
        <v>0</v>
      </c>
      <c r="E127" s="308">
        <v>0</v>
      </c>
      <c r="F127" s="309">
        <f t="shared" si="11"/>
        <v>0</v>
      </c>
      <c r="G127" s="308">
        <v>0</v>
      </c>
      <c r="H127" s="308">
        <v>0</v>
      </c>
      <c r="I127" s="309">
        <f t="shared" si="12"/>
        <v>0</v>
      </c>
    </row>
    <row r="128" spans="2:9" x14ac:dyDescent="0.25">
      <c r="B128" s="185"/>
      <c r="C128" s="188" t="s">
        <v>1163</v>
      </c>
      <c r="D128" s="307">
        <v>0</v>
      </c>
      <c r="E128" s="308">
        <v>0</v>
      </c>
      <c r="F128" s="309">
        <f t="shared" si="11"/>
        <v>0</v>
      </c>
      <c r="G128" s="308">
        <v>0</v>
      </c>
      <c r="H128" s="308">
        <v>0</v>
      </c>
      <c r="I128" s="309">
        <f t="shared" si="12"/>
        <v>0</v>
      </c>
    </row>
    <row r="129" spans="2:9" x14ac:dyDescent="0.25">
      <c r="B129" s="185"/>
      <c r="C129" s="188" t="s">
        <v>1164</v>
      </c>
      <c r="D129" s="307">
        <v>0</v>
      </c>
      <c r="E129" s="308">
        <v>0</v>
      </c>
      <c r="F129" s="309">
        <f t="shared" si="11"/>
        <v>0</v>
      </c>
      <c r="G129" s="308">
        <v>0</v>
      </c>
      <c r="H129" s="308">
        <v>0</v>
      </c>
      <c r="I129" s="309">
        <f t="shared" si="12"/>
        <v>0</v>
      </c>
    </row>
    <row r="130" spans="2:9" x14ac:dyDescent="0.25">
      <c r="B130" s="185"/>
      <c r="C130" s="188" t="s">
        <v>1165</v>
      </c>
      <c r="D130" s="307">
        <v>0</v>
      </c>
      <c r="E130" s="308">
        <v>0</v>
      </c>
      <c r="F130" s="309">
        <f t="shared" si="11"/>
        <v>0</v>
      </c>
      <c r="G130" s="308">
        <v>0</v>
      </c>
      <c r="H130" s="308">
        <v>0</v>
      </c>
      <c r="I130" s="309">
        <f t="shared" si="12"/>
        <v>0</v>
      </c>
    </row>
    <row r="131" spans="2:9" x14ac:dyDescent="0.25">
      <c r="B131" s="185"/>
      <c r="C131" s="188" t="s">
        <v>1166</v>
      </c>
      <c r="D131" s="307">
        <v>0</v>
      </c>
      <c r="E131" s="308">
        <v>0</v>
      </c>
      <c r="F131" s="309">
        <f t="shared" si="11"/>
        <v>0</v>
      </c>
      <c r="G131" s="308">
        <v>0</v>
      </c>
      <c r="H131" s="308">
        <v>0</v>
      </c>
      <c r="I131" s="309">
        <f t="shared" si="12"/>
        <v>0</v>
      </c>
    </row>
    <row r="132" spans="2:9" x14ac:dyDescent="0.25">
      <c r="B132" s="185"/>
      <c r="C132" s="188" t="s">
        <v>1167</v>
      </c>
      <c r="D132" s="307">
        <v>0</v>
      </c>
      <c r="E132" s="308">
        <v>0</v>
      </c>
      <c r="F132" s="309">
        <f t="shared" si="11"/>
        <v>0</v>
      </c>
      <c r="G132" s="308">
        <v>0</v>
      </c>
      <c r="H132" s="308">
        <v>0</v>
      </c>
      <c r="I132" s="309">
        <f t="shared" si="12"/>
        <v>0</v>
      </c>
    </row>
    <row r="133" spans="2:9" x14ac:dyDescent="0.25">
      <c r="B133" s="185"/>
      <c r="C133" s="188" t="s">
        <v>1168</v>
      </c>
      <c r="D133" s="307">
        <v>0</v>
      </c>
      <c r="E133" s="308">
        <v>0</v>
      </c>
      <c r="F133" s="309">
        <f t="shared" si="11"/>
        <v>0</v>
      </c>
      <c r="G133" s="308">
        <v>0</v>
      </c>
      <c r="H133" s="308">
        <v>0</v>
      </c>
      <c r="I133" s="309">
        <f t="shared" si="12"/>
        <v>0</v>
      </c>
    </row>
    <row r="134" spans="2:9" x14ac:dyDescent="0.25">
      <c r="B134" s="185"/>
      <c r="C134" s="188" t="s">
        <v>1169</v>
      </c>
      <c r="D134" s="307">
        <v>0</v>
      </c>
      <c r="E134" s="308">
        <v>0</v>
      </c>
      <c r="F134" s="309">
        <f t="shared" si="11"/>
        <v>0</v>
      </c>
      <c r="G134" s="308">
        <v>0</v>
      </c>
      <c r="H134" s="308">
        <v>0</v>
      </c>
      <c r="I134" s="309">
        <f t="shared" si="12"/>
        <v>0</v>
      </c>
    </row>
    <row r="135" spans="2:9" x14ac:dyDescent="0.25">
      <c r="B135" s="185"/>
      <c r="C135" s="188" t="s">
        <v>1170</v>
      </c>
      <c r="D135" s="307">
        <v>0</v>
      </c>
      <c r="E135" s="308">
        <v>0</v>
      </c>
      <c r="F135" s="309">
        <f t="shared" si="11"/>
        <v>0</v>
      </c>
      <c r="G135" s="308">
        <v>0</v>
      </c>
      <c r="H135" s="308">
        <v>0</v>
      </c>
      <c r="I135" s="309">
        <f t="shared" si="12"/>
        <v>0</v>
      </c>
    </row>
    <row r="136" spans="2:9" x14ac:dyDescent="0.25">
      <c r="B136" s="465" t="s">
        <v>1171</v>
      </c>
      <c r="C136" s="558"/>
      <c r="D136" s="287">
        <f>SUM(D137:D139)</f>
        <v>0</v>
      </c>
      <c r="E136" s="288">
        <f>SUM(E137:E139)</f>
        <v>0</v>
      </c>
      <c r="F136" s="288">
        <f t="shared" si="11"/>
        <v>0</v>
      </c>
      <c r="G136" s="288">
        <f>SUM(G137:G139)</f>
        <v>0</v>
      </c>
      <c r="H136" s="288">
        <f>SUM(H137:H139)</f>
        <v>0</v>
      </c>
      <c r="I136" s="288">
        <f t="shared" si="12"/>
        <v>0</v>
      </c>
    </row>
    <row r="137" spans="2:9" x14ac:dyDescent="0.25">
      <c r="B137" s="185"/>
      <c r="C137" s="188" t="s">
        <v>1172</v>
      </c>
      <c r="D137" s="307">
        <v>0</v>
      </c>
      <c r="E137" s="308">
        <v>0</v>
      </c>
      <c r="F137" s="309">
        <f t="shared" si="11"/>
        <v>0</v>
      </c>
      <c r="G137" s="308">
        <v>0</v>
      </c>
      <c r="H137" s="308">
        <v>0</v>
      </c>
      <c r="I137" s="309">
        <f t="shared" si="12"/>
        <v>0</v>
      </c>
    </row>
    <row r="138" spans="2:9" x14ac:dyDescent="0.25">
      <c r="B138" s="185"/>
      <c r="C138" s="188" t="s">
        <v>1173</v>
      </c>
      <c r="D138" s="307">
        <v>0</v>
      </c>
      <c r="E138" s="308">
        <v>0</v>
      </c>
      <c r="F138" s="309">
        <f t="shared" si="11"/>
        <v>0</v>
      </c>
      <c r="G138" s="308">
        <v>0</v>
      </c>
      <c r="H138" s="308">
        <v>0</v>
      </c>
      <c r="I138" s="309">
        <f t="shared" si="12"/>
        <v>0</v>
      </c>
    </row>
    <row r="139" spans="2:9" x14ac:dyDescent="0.25">
      <c r="B139" s="185"/>
      <c r="C139" s="188" t="s">
        <v>1174</v>
      </c>
      <c r="D139" s="307">
        <v>0</v>
      </c>
      <c r="E139" s="308">
        <v>0</v>
      </c>
      <c r="F139" s="309">
        <f t="shared" si="11"/>
        <v>0</v>
      </c>
      <c r="G139" s="308">
        <v>0</v>
      </c>
      <c r="H139" s="308">
        <v>0</v>
      </c>
      <c r="I139" s="309">
        <f t="shared" si="12"/>
        <v>0</v>
      </c>
    </row>
    <row r="140" spans="2:9" x14ac:dyDescent="0.25">
      <c r="B140" s="465" t="s">
        <v>1175</v>
      </c>
      <c r="C140" s="558"/>
      <c r="D140" s="287">
        <f>SUM(D141:D147)</f>
        <v>0</v>
      </c>
      <c r="E140" s="288">
        <f>SUM(E141:E147)</f>
        <v>0</v>
      </c>
      <c r="F140" s="288">
        <f t="shared" si="11"/>
        <v>0</v>
      </c>
      <c r="G140" s="288">
        <f>SUM(G141:G147)</f>
        <v>0</v>
      </c>
      <c r="H140" s="288">
        <f>SUM(H141:H147)</f>
        <v>0</v>
      </c>
      <c r="I140" s="288">
        <f t="shared" si="12"/>
        <v>0</v>
      </c>
    </row>
    <row r="141" spans="2:9" x14ac:dyDescent="0.25">
      <c r="B141" s="185"/>
      <c r="C141" s="188" t="s">
        <v>1176</v>
      </c>
      <c r="D141" s="307">
        <v>0</v>
      </c>
      <c r="E141" s="308">
        <v>0</v>
      </c>
      <c r="F141" s="309">
        <f t="shared" si="11"/>
        <v>0</v>
      </c>
      <c r="G141" s="308">
        <v>0</v>
      </c>
      <c r="H141" s="308">
        <v>0</v>
      </c>
      <c r="I141" s="309">
        <f t="shared" si="12"/>
        <v>0</v>
      </c>
    </row>
    <row r="142" spans="2:9" x14ac:dyDescent="0.25">
      <c r="B142" s="185"/>
      <c r="C142" s="188" t="s">
        <v>1177</v>
      </c>
      <c r="D142" s="307">
        <v>0</v>
      </c>
      <c r="E142" s="308">
        <v>0</v>
      </c>
      <c r="F142" s="309">
        <f t="shared" si="11"/>
        <v>0</v>
      </c>
      <c r="G142" s="308">
        <v>0</v>
      </c>
      <c r="H142" s="308">
        <v>0</v>
      </c>
      <c r="I142" s="309">
        <f t="shared" si="12"/>
        <v>0</v>
      </c>
    </row>
    <row r="143" spans="2:9" x14ac:dyDescent="0.25">
      <c r="B143" s="185"/>
      <c r="C143" s="188" t="s">
        <v>1178</v>
      </c>
      <c r="D143" s="307">
        <v>0</v>
      </c>
      <c r="E143" s="308">
        <v>0</v>
      </c>
      <c r="F143" s="309">
        <f t="shared" si="11"/>
        <v>0</v>
      </c>
      <c r="G143" s="308">
        <v>0</v>
      </c>
      <c r="H143" s="308">
        <v>0</v>
      </c>
      <c r="I143" s="309">
        <f t="shared" si="12"/>
        <v>0</v>
      </c>
    </row>
    <row r="144" spans="2:9" x14ac:dyDescent="0.25">
      <c r="B144" s="185"/>
      <c r="C144" s="188" t="s">
        <v>1179</v>
      </c>
      <c r="D144" s="307">
        <v>0</v>
      </c>
      <c r="E144" s="308">
        <v>0</v>
      </c>
      <c r="F144" s="309">
        <f t="shared" si="11"/>
        <v>0</v>
      </c>
      <c r="G144" s="308">
        <v>0</v>
      </c>
      <c r="H144" s="308">
        <v>0</v>
      </c>
      <c r="I144" s="309">
        <f t="shared" si="12"/>
        <v>0</v>
      </c>
    </row>
    <row r="145" spans="2:10" ht="22.5" x14ac:dyDescent="0.25">
      <c r="B145" s="185"/>
      <c r="C145" s="189" t="s">
        <v>1268</v>
      </c>
      <c r="D145" s="307">
        <v>0</v>
      </c>
      <c r="E145" s="308">
        <v>0</v>
      </c>
      <c r="F145" s="309">
        <f t="shared" si="11"/>
        <v>0</v>
      </c>
      <c r="G145" s="308">
        <v>0</v>
      </c>
      <c r="H145" s="308">
        <v>0</v>
      </c>
      <c r="I145" s="309">
        <f t="shared" si="12"/>
        <v>0</v>
      </c>
    </row>
    <row r="146" spans="2:10" x14ac:dyDescent="0.25">
      <c r="B146" s="185"/>
      <c r="C146" s="188" t="s">
        <v>1180</v>
      </c>
      <c r="D146" s="307">
        <v>0</v>
      </c>
      <c r="E146" s="308">
        <v>0</v>
      </c>
      <c r="F146" s="309">
        <f t="shared" si="11"/>
        <v>0</v>
      </c>
      <c r="G146" s="308">
        <v>0</v>
      </c>
      <c r="H146" s="308">
        <v>0</v>
      </c>
      <c r="I146" s="309">
        <f t="shared" si="12"/>
        <v>0</v>
      </c>
    </row>
    <row r="147" spans="2:10" x14ac:dyDescent="0.25">
      <c r="B147" s="185"/>
      <c r="C147" s="188" t="s">
        <v>1181</v>
      </c>
      <c r="D147" s="307">
        <v>0</v>
      </c>
      <c r="E147" s="308">
        <v>0</v>
      </c>
      <c r="F147" s="309">
        <f t="shared" si="11"/>
        <v>0</v>
      </c>
      <c r="G147" s="308">
        <v>0</v>
      </c>
      <c r="H147" s="308">
        <v>0</v>
      </c>
      <c r="I147" s="309">
        <f t="shared" si="12"/>
        <v>0</v>
      </c>
    </row>
    <row r="148" spans="2:10" x14ac:dyDescent="0.25">
      <c r="B148" s="465" t="s">
        <v>1182</v>
      </c>
      <c r="C148" s="558"/>
      <c r="D148" s="287">
        <f>SUM(D149:D151)</f>
        <v>0</v>
      </c>
      <c r="E148" s="288">
        <f>SUM(E149:E151)</f>
        <v>0</v>
      </c>
      <c r="F148" s="288">
        <f t="shared" si="11"/>
        <v>0</v>
      </c>
      <c r="G148" s="288">
        <f>SUM(G149:G151)</f>
        <v>0</v>
      </c>
      <c r="H148" s="288">
        <f>SUM(H149:H151)</f>
        <v>0</v>
      </c>
      <c r="I148" s="288">
        <f t="shared" si="12"/>
        <v>0</v>
      </c>
    </row>
    <row r="149" spans="2:10" x14ac:dyDescent="0.25">
      <c r="B149" s="185"/>
      <c r="C149" s="188" t="s">
        <v>1183</v>
      </c>
      <c r="D149" s="307">
        <v>0</v>
      </c>
      <c r="E149" s="308">
        <v>0</v>
      </c>
      <c r="F149" s="309">
        <f t="shared" si="11"/>
        <v>0</v>
      </c>
      <c r="G149" s="308">
        <v>0</v>
      </c>
      <c r="H149" s="308">
        <v>0</v>
      </c>
      <c r="I149" s="309">
        <f t="shared" si="12"/>
        <v>0</v>
      </c>
    </row>
    <row r="150" spans="2:10" x14ac:dyDescent="0.25">
      <c r="B150" s="185"/>
      <c r="C150" s="188" t="s">
        <v>1184</v>
      </c>
      <c r="D150" s="307">
        <v>0</v>
      </c>
      <c r="E150" s="308">
        <v>0</v>
      </c>
      <c r="F150" s="309">
        <f t="shared" si="11"/>
        <v>0</v>
      </c>
      <c r="G150" s="308">
        <v>0</v>
      </c>
      <c r="H150" s="308">
        <v>0</v>
      </c>
      <c r="I150" s="309">
        <f t="shared" si="12"/>
        <v>0</v>
      </c>
    </row>
    <row r="151" spans="2:10" x14ac:dyDescent="0.25">
      <c r="B151" s="185"/>
      <c r="C151" s="188" t="s">
        <v>1185</v>
      </c>
      <c r="D151" s="307">
        <v>0</v>
      </c>
      <c r="E151" s="308">
        <v>0</v>
      </c>
      <c r="F151" s="309">
        <f t="shared" si="11"/>
        <v>0</v>
      </c>
      <c r="G151" s="308">
        <v>0</v>
      </c>
      <c r="H151" s="308">
        <v>0</v>
      </c>
      <c r="I151" s="309">
        <f t="shared" si="12"/>
        <v>0</v>
      </c>
    </row>
    <row r="152" spans="2:10" x14ac:dyDescent="0.25">
      <c r="B152" s="465" t="s">
        <v>1186</v>
      </c>
      <c r="C152" s="558"/>
      <c r="D152" s="287">
        <f>SUM(D153:D159)</f>
        <v>0</v>
      </c>
      <c r="E152" s="288">
        <f>SUM(E153:E159)</f>
        <v>0</v>
      </c>
      <c r="F152" s="288">
        <f t="shared" ref="F152:F159" si="13">+D152+E152</f>
        <v>0</v>
      </c>
      <c r="G152" s="288">
        <f>SUM(G153:G159)</f>
        <v>0</v>
      </c>
      <c r="H152" s="288">
        <f>SUM(H153:H159)</f>
        <v>0</v>
      </c>
      <c r="I152" s="288">
        <f t="shared" ref="I152:I159" si="14">F152-G152-H152</f>
        <v>0</v>
      </c>
    </row>
    <row r="153" spans="2:10" x14ac:dyDescent="0.25">
      <c r="B153" s="185"/>
      <c r="C153" s="188" t="s">
        <v>1187</v>
      </c>
      <c r="D153" s="307">
        <v>0</v>
      </c>
      <c r="E153" s="308">
        <v>0</v>
      </c>
      <c r="F153" s="309">
        <f t="shared" si="13"/>
        <v>0</v>
      </c>
      <c r="G153" s="308">
        <v>0</v>
      </c>
      <c r="H153" s="308">
        <v>0</v>
      </c>
      <c r="I153" s="309">
        <f t="shared" si="14"/>
        <v>0</v>
      </c>
    </row>
    <row r="154" spans="2:10" x14ac:dyDescent="0.25">
      <c r="B154" s="185"/>
      <c r="C154" s="188" t="s">
        <v>1188</v>
      </c>
      <c r="D154" s="307">
        <v>0</v>
      </c>
      <c r="E154" s="308">
        <v>0</v>
      </c>
      <c r="F154" s="309">
        <f t="shared" si="13"/>
        <v>0</v>
      </c>
      <c r="G154" s="308">
        <v>0</v>
      </c>
      <c r="H154" s="308">
        <v>0</v>
      </c>
      <c r="I154" s="309">
        <f t="shared" si="14"/>
        <v>0</v>
      </c>
    </row>
    <row r="155" spans="2:10" x14ac:dyDescent="0.25">
      <c r="B155" s="185"/>
      <c r="C155" s="188" t="s">
        <v>1189</v>
      </c>
      <c r="D155" s="307">
        <v>0</v>
      </c>
      <c r="E155" s="308">
        <v>0</v>
      </c>
      <c r="F155" s="309">
        <f t="shared" si="13"/>
        <v>0</v>
      </c>
      <c r="G155" s="308">
        <v>0</v>
      </c>
      <c r="H155" s="308">
        <v>0</v>
      </c>
      <c r="I155" s="309">
        <f t="shared" si="14"/>
        <v>0</v>
      </c>
    </row>
    <row r="156" spans="2:10" x14ac:dyDescent="0.25">
      <c r="B156" s="185"/>
      <c r="C156" s="188" t="s">
        <v>1190</v>
      </c>
      <c r="D156" s="307">
        <v>0</v>
      </c>
      <c r="E156" s="308">
        <v>0</v>
      </c>
      <c r="F156" s="309">
        <f t="shared" si="13"/>
        <v>0</v>
      </c>
      <c r="G156" s="308">
        <v>0</v>
      </c>
      <c r="H156" s="308">
        <v>0</v>
      </c>
      <c r="I156" s="309">
        <f t="shared" si="14"/>
        <v>0</v>
      </c>
    </row>
    <row r="157" spans="2:10" x14ac:dyDescent="0.25">
      <c r="B157" s="185"/>
      <c r="C157" s="188" t="s">
        <v>1191</v>
      </c>
      <c r="D157" s="307">
        <v>0</v>
      </c>
      <c r="E157" s="308">
        <v>0</v>
      </c>
      <c r="F157" s="309">
        <f t="shared" si="13"/>
        <v>0</v>
      </c>
      <c r="G157" s="308">
        <v>0</v>
      </c>
      <c r="H157" s="308">
        <v>0</v>
      </c>
      <c r="I157" s="309">
        <f t="shared" si="14"/>
        <v>0</v>
      </c>
      <c r="J157" s="123"/>
    </row>
    <row r="158" spans="2:10" x14ac:dyDescent="0.25">
      <c r="B158" s="185"/>
      <c r="C158" s="188" t="s">
        <v>1192</v>
      </c>
      <c r="D158" s="307">
        <v>0</v>
      </c>
      <c r="E158" s="308">
        <v>0</v>
      </c>
      <c r="F158" s="309">
        <f t="shared" si="13"/>
        <v>0</v>
      </c>
      <c r="G158" s="308">
        <v>0</v>
      </c>
      <c r="H158" s="308">
        <v>0</v>
      </c>
      <c r="I158" s="309">
        <f t="shared" si="14"/>
        <v>0</v>
      </c>
    </row>
    <row r="159" spans="2:10" x14ac:dyDescent="0.25">
      <c r="B159" s="185"/>
      <c r="C159" s="188" t="s">
        <v>1193</v>
      </c>
      <c r="D159" s="307">
        <v>0</v>
      </c>
      <c r="E159" s="308">
        <v>0</v>
      </c>
      <c r="F159" s="309">
        <f t="shared" si="13"/>
        <v>0</v>
      </c>
      <c r="G159" s="308">
        <v>0</v>
      </c>
      <c r="H159" s="308">
        <v>0</v>
      </c>
      <c r="I159" s="309">
        <f t="shared" si="14"/>
        <v>0</v>
      </c>
      <c r="J159" s="123"/>
    </row>
    <row r="160" spans="2:10" x14ac:dyDescent="0.25">
      <c r="B160" s="185"/>
      <c r="C160" s="188"/>
      <c r="D160" s="292"/>
      <c r="E160" s="293"/>
      <c r="F160" s="293"/>
      <c r="G160" s="293"/>
      <c r="H160" s="293"/>
      <c r="I160" s="292"/>
      <c r="J160" s="123"/>
    </row>
    <row r="161" spans="2:10" x14ac:dyDescent="0.25">
      <c r="B161" s="569" t="s">
        <v>1194</v>
      </c>
      <c r="C161" s="548"/>
      <c r="D161" s="269">
        <f>D9+D87</f>
        <v>19818332</v>
      </c>
      <c r="E161" s="323">
        <f>E9+E87</f>
        <v>7791178</v>
      </c>
      <c r="F161" s="269">
        <f>F9+F87</f>
        <v>27609510</v>
      </c>
      <c r="G161" s="269">
        <f>G9+G87</f>
        <v>18110852</v>
      </c>
      <c r="H161" s="269">
        <f>H9+H87</f>
        <v>18110852</v>
      </c>
      <c r="I161" s="323">
        <f>+F161-H161</f>
        <v>9498658</v>
      </c>
      <c r="J161" s="123"/>
    </row>
    <row r="162" spans="2:10" ht="15.75" thickBot="1" x14ac:dyDescent="0.3">
      <c r="B162" s="140"/>
      <c r="C162" s="141"/>
      <c r="D162" s="227"/>
      <c r="E162" s="294"/>
      <c r="F162" s="228"/>
      <c r="G162" s="228"/>
      <c r="H162" s="228"/>
      <c r="I162" s="227"/>
      <c r="J162" s="123"/>
    </row>
    <row r="166" spans="2:10" x14ac:dyDescent="0.25">
      <c r="C166" s="114" t="s">
        <v>1296</v>
      </c>
      <c r="D166" s="306"/>
      <c r="E166" s="576" t="s">
        <v>1294</v>
      </c>
      <c r="F166" s="576"/>
      <c r="G166" s="576"/>
      <c r="H166" s="576"/>
      <c r="I166" s="33"/>
    </row>
    <row r="167" spans="2:10" x14ac:dyDescent="0.25">
      <c r="C167" s="114" t="s">
        <v>1293</v>
      </c>
      <c r="D167" s="306"/>
      <c r="E167" s="576" t="s">
        <v>1295</v>
      </c>
      <c r="F167" s="576"/>
      <c r="G167" s="576"/>
      <c r="H167" s="576"/>
      <c r="I167" s="33"/>
    </row>
  </sheetData>
  <mergeCells count="32">
    <mergeCell ref="E166:H166"/>
    <mergeCell ref="E167:H167"/>
    <mergeCell ref="B161:C161"/>
    <mergeCell ref="B116:C116"/>
    <mergeCell ref="B126:C126"/>
    <mergeCell ref="B136:C136"/>
    <mergeCell ref="B140:C140"/>
    <mergeCell ref="B148:C148"/>
    <mergeCell ref="B152:C152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60" orientation="portrait" r:id="rId1"/>
  <ignoredErrors>
    <ignoredError sqref="F58 F62 F70 F74 F88 F96 F106 F116 F126 F136 F140 F148 F15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15</vt:i4>
      </vt:variant>
    </vt:vector>
  </HeadingPairs>
  <TitlesOfParts>
    <vt:vector size="28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BALANZA</vt:lpstr>
      <vt:lpstr>BALANZA!_ftn1</vt:lpstr>
      <vt:lpstr>'BALANZA (2)'!_ftn1</vt:lpstr>
      <vt:lpstr>BALANZA!_ftnref1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 a)'!Área_de_impresión</vt:lpstr>
      <vt:lpstr>'Formato 6 b)'!Área_de_impresión</vt:lpstr>
      <vt:lpstr>'Formato 6 c)'!Área_de_impresión</vt:lpstr>
      <vt:lpstr>'Formato 6 d)'!Área_de_impresión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Usuario24</cp:lastModifiedBy>
  <cp:lastPrinted>2017-01-11T16:14:12Z</cp:lastPrinted>
  <dcterms:created xsi:type="dcterms:W3CDTF">2014-08-12T01:23:14Z</dcterms:created>
  <dcterms:modified xsi:type="dcterms:W3CDTF">2017-01-11T20:02:29Z</dcterms:modified>
</cp:coreProperties>
</file>