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jercicio 2016\Cuenta Pública 2016\Cuenta Publica Armonizada MARZO 2016\"/>
    </mc:Choice>
  </mc:AlternateContent>
  <bookViews>
    <workbookView xWindow="0" yWindow="0" windowWidth="11325" windowHeight="4710"/>
  </bookViews>
  <sheets>
    <sheet name="EDO DE ACTIVIDADES" sheetId="3" r:id="rId1"/>
    <sheet name="SITUACION FINANCIERA" sheetId="11" r:id="rId2"/>
    <sheet name="EDO DE CAMBIOS" sheetId="12" r:id="rId3"/>
    <sheet name="ANALITICO DEL ACTIVO" sheetId="13" r:id="rId4"/>
    <sheet name="DEUDA Y OTROS PASIVOS" sheetId="14" r:id="rId5"/>
    <sheet name="ESTADO DE VARIACIÓN" sheetId="15" r:id="rId6"/>
    <sheet name="FLUJOS DE EFECTIVO" sheetId="16" r:id="rId7"/>
    <sheet name="EAI" sheetId="19" r:id="rId8"/>
    <sheet name="CAdmon" sheetId="20" r:id="rId9"/>
    <sheet name="CTG" sheetId="21" r:id="rId10"/>
    <sheet name="COG" sheetId="22" r:id="rId11"/>
    <sheet name="CFG" sheetId="23" r:id="rId12"/>
    <sheet name="End Neto" sheetId="24" r:id="rId13"/>
    <sheet name="Int" sheetId="25" r:id="rId14"/>
    <sheet name="CProg" sheetId="26" r:id="rId15"/>
    <sheet name="Post Fiscal" sheetId="27" r:id="rId16"/>
    <sheet name="BInmu" sheetId="29" r:id="rId17"/>
    <sheet name="Rel Cta Banc" sheetId="30" r:id="rId18"/>
    <sheet name="BMu" sheetId="28" r:id="rId19"/>
    <sheet name="BALANZA" sheetId="17" r:id="rId20"/>
    <sheet name="BALANZA (2)" sheetId="33" state="hidden" r:id="rId21"/>
    <sheet name="PRONOSTICO DE INGRESOS" sheetId="31" state="hidden" r:id="rId22"/>
    <sheet name="PRESUPUESTO DE EGRESOS" sheetId="32" state="hidden" r:id="rId23"/>
  </sheets>
  <externalReferences>
    <externalReference r:id="rId24"/>
    <externalReference r:id="rId25"/>
    <externalReference r:id="rId26"/>
  </externalReferences>
  <definedNames>
    <definedName name="_ftn1" localSheetId="19">BALANZA!$A$745</definedName>
    <definedName name="_ftn1" localSheetId="20">'BALANZA (2)'!$A$745</definedName>
    <definedName name="_ftnref1" localSheetId="19">BALANZA!$A$691</definedName>
    <definedName name="_ftnref1" localSheetId="20">'BALANZA (2)'!$A$691</definedName>
    <definedName name="_xlnm.Print_Area" localSheetId="22">'PRESUPUESTO DE EGRESOS'!$A$1:$W$112</definedName>
    <definedName name="_xlnm.Print_Area" localSheetId="21">'PRONOSTICO DE INGRESOS'!$A$1:$S$30</definedName>
    <definedName name="CP">'[1]16'!$G$415</definedName>
    <definedName name="D" localSheetId="20">#REF!</definedName>
    <definedName name="D">#REF!</definedName>
    <definedName name="DE">'[2]16'!$G$415</definedName>
    <definedName name="e" localSheetId="20">#REF!</definedName>
    <definedName name="e">#REF!</definedName>
    <definedName name="enero" localSheetId="20">#REF!</definedName>
    <definedName name="enero">#REF!</definedName>
    <definedName name="FR">'[1]16'!$G$80</definedName>
    <definedName name="GC">'[1]16'!$G$348</definedName>
    <definedName name="MPIOS" localSheetId="20">#REF!</definedName>
    <definedName name="MPIOS">#REF!</definedName>
    <definedName name="MUNIC" localSheetId="20">#REF!</definedName>
    <definedName name="MUNIC">#REF!</definedName>
    <definedName name="PP">'[1]16'!$G$147</definedName>
    <definedName name="s" localSheetId="20">#REF!</definedName>
    <definedName name="s">#REF!</definedName>
    <definedName name="ss" localSheetId="20">#REF!</definedName>
    <definedName name="ss">#REF!</definedName>
    <definedName name="xx" localSheetId="20">#REF!</definedName>
    <definedName name="xx">#REF!</definedName>
  </definedNames>
  <calcPr calcId="152511"/>
</workbook>
</file>

<file path=xl/calcChain.xml><?xml version="1.0" encoding="utf-8"?>
<calcChain xmlns="http://schemas.openxmlformats.org/spreadsheetml/2006/main">
  <c r="H12" i="20" l="1"/>
  <c r="N63" i="11" l="1"/>
  <c r="N59" i="11"/>
  <c r="J363" i="17" l="1"/>
  <c r="F33" i="15" s="1"/>
  <c r="F21" i="15"/>
  <c r="J540" i="17"/>
  <c r="J539" i="17"/>
  <c r="J538" i="17"/>
  <c r="J537" i="17"/>
  <c r="J535" i="17"/>
  <c r="J533" i="17"/>
  <c r="J532" i="17"/>
  <c r="J531" i="17"/>
  <c r="J527" i="17"/>
  <c r="J524" i="17"/>
  <c r="B2" i="26" l="1"/>
  <c r="A1" i="25"/>
  <c r="B2" i="24"/>
  <c r="B2" i="23"/>
  <c r="B2" i="22"/>
  <c r="B2" i="21"/>
  <c r="B2" i="20"/>
  <c r="B2" i="19"/>
  <c r="E3" i="15"/>
  <c r="A2" i="14"/>
  <c r="D2" i="13"/>
  <c r="D3" i="12"/>
  <c r="E2" i="11"/>
  <c r="D2" i="3"/>
  <c r="D101" i="28" l="1"/>
  <c r="E19" i="22"/>
  <c r="F41" i="14" l="1"/>
  <c r="E41" i="14"/>
  <c r="G39" i="11"/>
  <c r="G17" i="11"/>
  <c r="F39" i="11"/>
  <c r="G213" i="17"/>
  <c r="J686" i="17"/>
  <c r="J588" i="17"/>
  <c r="J591" i="17"/>
  <c r="J590" i="17"/>
  <c r="I5" i="17"/>
  <c r="G593" i="17" l="1"/>
  <c r="G592" i="17"/>
  <c r="G588" i="17" s="1"/>
  <c r="G585" i="17"/>
  <c r="G583" i="17"/>
  <c r="G582" i="17"/>
  <c r="G579" i="17"/>
  <c r="G578" i="17"/>
  <c r="G577" i="17"/>
  <c r="G576" i="17"/>
  <c r="G575" i="17" s="1"/>
  <c r="G574" i="17"/>
  <c r="G573" i="17" s="1"/>
  <c r="G572" i="17"/>
  <c r="G571" i="17"/>
  <c r="G570" i="17"/>
  <c r="G569" i="17"/>
  <c r="G568" i="17"/>
  <c r="G566" i="17" s="1"/>
  <c r="G567" i="17"/>
  <c r="G565" i="17"/>
  <c r="G562" i="17"/>
  <c r="G561" i="17" s="1"/>
  <c r="G560" i="17"/>
  <c r="G559" i="17"/>
  <c r="G558" i="17"/>
  <c r="G557" i="17"/>
  <c r="G556" i="17"/>
  <c r="G555" i="17"/>
  <c r="G554" i="17"/>
  <c r="G552" i="17" s="1"/>
  <c r="G551" i="17"/>
  <c r="G550" i="17" s="1"/>
  <c r="G548" i="17"/>
  <c r="G547" i="17"/>
  <c r="G546" i="17"/>
  <c r="G545" i="17"/>
  <c r="G543" i="17"/>
  <c r="G542" i="17" s="1"/>
  <c r="G536" i="17"/>
  <c r="G534" i="17"/>
  <c r="G530" i="17"/>
  <c r="G529" i="17"/>
  <c r="G528" i="17" s="1"/>
  <c r="G525" i="17"/>
  <c r="G524" i="17"/>
  <c r="G523" i="17"/>
  <c r="G521" i="17" s="1"/>
  <c r="G522" i="17"/>
  <c r="G519" i="17"/>
  <c r="G518" i="17"/>
  <c r="G517" i="17" s="1"/>
  <c r="G515" i="17"/>
  <c r="G514" i="17"/>
  <c r="G513" i="17"/>
  <c r="G510" i="17" s="1"/>
  <c r="G511" i="17"/>
  <c r="G506" i="17"/>
  <c r="G505" i="17"/>
  <c r="G504" i="17"/>
  <c r="G503" i="17"/>
  <c r="G500" i="17"/>
  <c r="G499" i="17"/>
  <c r="G498" i="17"/>
  <c r="G497" i="17"/>
  <c r="G496" i="17"/>
  <c r="G495" i="17"/>
  <c r="G449" i="17"/>
  <c r="G436" i="17"/>
  <c r="G435" i="17"/>
  <c r="G429" i="17"/>
  <c r="G428" i="17"/>
  <c r="G426" i="17"/>
  <c r="G424" i="17"/>
  <c r="G423" i="17"/>
  <c r="G422" i="17"/>
  <c r="N50" i="11"/>
  <c r="J379" i="17" l="1"/>
  <c r="J378" i="17"/>
  <c r="I257" i="17"/>
  <c r="H257" i="17"/>
  <c r="G257" i="17"/>
  <c r="J289" i="17"/>
  <c r="J283" i="17"/>
  <c r="J284" i="17"/>
  <c r="J285" i="17"/>
  <c r="J286" i="17"/>
  <c r="J287" i="17"/>
  <c r="J288" i="17"/>
  <c r="I114" i="17"/>
  <c r="I7" i="17"/>
  <c r="H7" i="17"/>
  <c r="G7" i="17"/>
  <c r="J33" i="17"/>
  <c r="J32" i="17"/>
  <c r="J31" i="17"/>
  <c r="J30" i="17"/>
  <c r="J686" i="33" l="1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I257" i="33"/>
  <c r="H257" i="33"/>
  <c r="G257" i="33"/>
  <c r="J289" i="33"/>
  <c r="I289" i="33"/>
  <c r="H289" i="33"/>
  <c r="I288" i="33"/>
  <c r="H288" i="33"/>
  <c r="I285" i="33"/>
  <c r="H285" i="33"/>
  <c r="H274" i="33"/>
  <c r="H275" i="33"/>
  <c r="I258" i="33"/>
  <c r="H258" i="33"/>
  <c r="I70" i="33"/>
  <c r="H70" i="33"/>
  <c r="H43" i="33"/>
  <c r="I59" i="33"/>
  <c r="H59" i="33"/>
  <c r="H45" i="33"/>
  <c r="I32" i="33"/>
  <c r="J32" i="33" s="1"/>
  <c r="H31" i="33"/>
  <c r="J31" i="33" s="1"/>
  <c r="H30" i="33"/>
  <c r="H11" i="33"/>
  <c r="I33" i="33"/>
  <c r="H33" i="33"/>
  <c r="H32" i="33"/>
  <c r="I31" i="33"/>
  <c r="I30" i="33"/>
  <c r="J30" i="33" s="1"/>
  <c r="G7" i="33"/>
  <c r="G5" i="33" s="1"/>
  <c r="J33" i="33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685" i="33" l="1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J460" i="33" s="1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J394" i="33" s="1"/>
  <c r="J392" i="33" s="1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I357" i="33" s="1"/>
  <c r="H364" i="33"/>
  <c r="H362" i="33" s="1"/>
  <c r="G362" i="33"/>
  <c r="G357" i="33" s="1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H234" i="33"/>
  <c r="G234" i="33"/>
  <c r="G228" i="33" s="1"/>
  <c r="I228" i="33"/>
  <c r="H228" i="33"/>
  <c r="J217" i="33"/>
  <c r="J216" i="33"/>
  <c r="J215" i="33"/>
  <c r="J214" i="33"/>
  <c r="J213" i="33"/>
  <c r="I212" i="33"/>
  <c r="I211" i="33" s="1"/>
  <c r="H212" i="33"/>
  <c r="H211" i="33" s="1"/>
  <c r="G212" i="33"/>
  <c r="G211" i="33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H114" i="33" s="1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J364" i="33" l="1"/>
  <c r="H398" i="33"/>
  <c r="H397" i="33" s="1"/>
  <c r="I114" i="33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I9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G38" i="22"/>
  <c r="G37" i="22"/>
  <c r="G36" i="22"/>
  <c r="G33" i="22"/>
  <c r="G30" i="22"/>
  <c r="G29" i="22"/>
  <c r="G26" i="22"/>
  <c r="G24" i="22"/>
  <c r="G23" i="22"/>
  <c r="G21" i="22"/>
  <c r="J42" i="19"/>
  <c r="J39" i="19"/>
  <c r="F40" i="19"/>
  <c r="F37" i="19"/>
  <c r="J3" i="33" l="1"/>
  <c r="W105" i="32"/>
  <c r="V105" i="32"/>
  <c r="U105" i="32"/>
  <c r="T105" i="32"/>
  <c r="S105" i="32"/>
  <c r="R105" i="32"/>
  <c r="Q105" i="32"/>
  <c r="P105" i="32"/>
  <c r="O105" i="32"/>
  <c r="N105" i="32"/>
  <c r="M105" i="32"/>
  <c r="L105" i="32"/>
  <c r="K105" i="32"/>
  <c r="J105" i="32"/>
  <c r="I105" i="32"/>
  <c r="H105" i="32"/>
  <c r="G105" i="32"/>
  <c r="F105" i="32"/>
  <c r="E105" i="32"/>
  <c r="S14" i="32"/>
  <c r="S15" i="32"/>
  <c r="S16" i="32"/>
  <c r="S17" i="32"/>
  <c r="S18" i="32"/>
  <c r="S19" i="32"/>
  <c r="S20" i="32"/>
  <c r="S21" i="32"/>
  <c r="S22" i="32"/>
  <c r="S23" i="32"/>
  <c r="S24" i="32"/>
  <c r="S25" i="32"/>
  <c r="S26" i="32"/>
  <c r="S27" i="32"/>
  <c r="S28" i="32"/>
  <c r="S29" i="32"/>
  <c r="S30" i="32"/>
  <c r="S31" i="32"/>
  <c r="S32" i="32"/>
  <c r="S33" i="32"/>
  <c r="S34" i="32"/>
  <c r="S35" i="32"/>
  <c r="S36" i="32"/>
  <c r="S37" i="32"/>
  <c r="S38" i="32"/>
  <c r="S39" i="32"/>
  <c r="S40" i="32"/>
  <c r="S41" i="32"/>
  <c r="S42" i="32"/>
  <c r="S43" i="32"/>
  <c r="S44" i="32"/>
  <c r="S45" i="32"/>
  <c r="S46" i="32"/>
  <c r="S47" i="32"/>
  <c r="S48" i="32"/>
  <c r="S49" i="32"/>
  <c r="S50" i="32"/>
  <c r="S51" i="32"/>
  <c r="S52" i="32"/>
  <c r="S53" i="32"/>
  <c r="S54" i="32"/>
  <c r="S55" i="32"/>
  <c r="S56" i="32"/>
  <c r="S57" i="32"/>
  <c r="S58" i="32"/>
  <c r="S59" i="32"/>
  <c r="S60" i="32"/>
  <c r="S61" i="32"/>
  <c r="S62" i="32"/>
  <c r="S63" i="32"/>
  <c r="S64" i="32"/>
  <c r="S65" i="32"/>
  <c r="S66" i="32"/>
  <c r="S67" i="32"/>
  <c r="S68" i="32"/>
  <c r="S69" i="32"/>
  <c r="S70" i="32"/>
  <c r="S71" i="32"/>
  <c r="S72" i="32"/>
  <c r="S73" i="32"/>
  <c r="S74" i="32"/>
  <c r="S75" i="32"/>
  <c r="S76" i="32"/>
  <c r="S77" i="32"/>
  <c r="S78" i="32"/>
  <c r="S79" i="32"/>
  <c r="S80" i="32"/>
  <c r="S81" i="32"/>
  <c r="S82" i="32"/>
  <c r="S83" i="32"/>
  <c r="S84" i="32"/>
  <c r="S85" i="32"/>
  <c r="S86" i="32"/>
  <c r="S87" i="32"/>
  <c r="S88" i="32"/>
  <c r="S89" i="32"/>
  <c r="S90" i="32"/>
  <c r="S91" i="32"/>
  <c r="S92" i="32"/>
  <c r="S93" i="32"/>
  <c r="S94" i="32"/>
  <c r="S95" i="32"/>
  <c r="S96" i="32"/>
  <c r="S97" i="32"/>
  <c r="S98" i="32"/>
  <c r="S99" i="32"/>
  <c r="S100" i="32"/>
  <c r="S101" i="32"/>
  <c r="S102" i="32"/>
  <c r="S103" i="32"/>
  <c r="S104" i="32"/>
  <c r="D105" i="32"/>
  <c r="R99" i="32"/>
  <c r="Q99" i="32"/>
  <c r="P99" i="32"/>
  <c r="P98" i="32" s="1"/>
  <c r="O99" i="32"/>
  <c r="R98" i="32"/>
  <c r="Q98" i="32"/>
  <c r="O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Q52" i="32"/>
  <c r="P52" i="32"/>
  <c r="P51" i="32" s="1"/>
  <c r="O52" i="32"/>
  <c r="R51" i="32"/>
  <c r="Q51" i="32"/>
  <c r="O51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P25" i="32"/>
  <c r="P24" i="32" s="1"/>
  <c r="O25" i="32"/>
  <c r="R24" i="32"/>
  <c r="Q24" i="32"/>
  <c r="O24" i="32"/>
  <c r="R21" i="32"/>
  <c r="Q21" i="32"/>
  <c r="P21" i="32"/>
  <c r="O21" i="32"/>
  <c r="R17" i="32"/>
  <c r="Q17" i="32"/>
  <c r="P17" i="32"/>
  <c r="P14" i="32" s="1"/>
  <c r="O17" i="32"/>
  <c r="R14" i="32"/>
  <c r="Q14" i="32"/>
  <c r="O14" i="32"/>
  <c r="J426" i="17" l="1"/>
  <c r="J268" i="17"/>
  <c r="J28" i="17" l="1"/>
  <c r="N99" i="32" l="1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4" i="32" s="1"/>
  <c r="N17" i="32"/>
  <c r="O20" i="31"/>
  <c r="O18" i="31"/>
  <c r="O16" i="31"/>
  <c r="O14" i="31"/>
  <c r="N23" i="31"/>
  <c r="N51" i="32" l="1"/>
  <c r="N24" i="32"/>
  <c r="J274" i="17" l="1"/>
  <c r="J27" i="17"/>
  <c r="M23" i="31" l="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G434" i="17" l="1"/>
  <c r="J438" i="17"/>
  <c r="J437" i="17"/>
  <c r="J436" i="17"/>
  <c r="J435" i="17"/>
  <c r="J26" i="17" l="1"/>
  <c r="H41" i="19"/>
  <c r="H38" i="19"/>
  <c r="H36" i="19"/>
  <c r="D103" i="32"/>
  <c r="D101" i="32"/>
  <c r="D100" i="32"/>
  <c r="W99" i="32"/>
  <c r="W98" i="32" s="1"/>
  <c r="V99" i="32"/>
  <c r="V98" i="32" s="1"/>
  <c r="U99" i="32"/>
  <c r="T99" i="32"/>
  <c r="T98" i="32" s="1"/>
  <c r="K99" i="32"/>
  <c r="K98" i="32" s="1"/>
  <c r="J99" i="32"/>
  <c r="I99" i="32"/>
  <c r="I98" i="32" s="1"/>
  <c r="H99" i="32"/>
  <c r="H98" i="32" s="1"/>
  <c r="G99" i="32"/>
  <c r="G98" i="32" s="1"/>
  <c r="F99" i="32"/>
  <c r="E99" i="32"/>
  <c r="U98" i="32"/>
  <c r="J98" i="32"/>
  <c r="F98" i="32"/>
  <c r="D97" i="32"/>
  <c r="D95" i="32" s="1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2" i="32" s="1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D33" i="32" s="1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D17" i="32" s="1"/>
  <c r="W17" i="32"/>
  <c r="V17" i="32"/>
  <c r="U17" i="32"/>
  <c r="T17" i="32"/>
  <c r="K17" i="32"/>
  <c r="K14" i="32" s="1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U24" i="32" l="1"/>
  <c r="D30" i="32"/>
  <c r="E98" i="32"/>
  <c r="H51" i="32"/>
  <c r="D52" i="32"/>
  <c r="D62" i="32"/>
  <c r="G14" i="2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51" i="32" s="1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D24" i="32" l="1"/>
  <c r="J592" i="17" l="1"/>
  <c r="J593" i="17"/>
  <c r="J589" i="17"/>
  <c r="J587" i="17"/>
  <c r="J586" i="17"/>
  <c r="J585" i="17"/>
  <c r="J584" i="17"/>
  <c r="J583" i="17"/>
  <c r="J578" i="17"/>
  <c r="J577" i="17"/>
  <c r="J581" i="17"/>
  <c r="J580" i="17"/>
  <c r="J579" i="17"/>
  <c r="J576" i="17"/>
  <c r="J574" i="17"/>
  <c r="J570" i="17"/>
  <c r="J567" i="17"/>
  <c r="J572" i="17"/>
  <c r="J571" i="17"/>
  <c r="J569" i="17"/>
  <c r="J568" i="17"/>
  <c r="J565" i="17"/>
  <c r="J564" i="17"/>
  <c r="J563" i="17"/>
  <c r="J562" i="17"/>
  <c r="J560" i="17"/>
  <c r="J559" i="17"/>
  <c r="J558" i="17"/>
  <c r="J555" i="17"/>
  <c r="J557" i="17"/>
  <c r="J556" i="17"/>
  <c r="J554" i="17"/>
  <c r="J553" i="17"/>
  <c r="J551" i="17"/>
  <c r="J548" i="17"/>
  <c r="J546" i="17"/>
  <c r="J545" i="17"/>
  <c r="J549" i="17"/>
  <c r="J547" i="17"/>
  <c r="J544" i="17"/>
  <c r="J543" i="17"/>
  <c r="J60" i="17" l="1"/>
  <c r="J10" i="17"/>
  <c r="A3" i="27" l="1"/>
  <c r="B5" i="26"/>
  <c r="A4" i="25"/>
  <c r="B5" i="24"/>
  <c r="B6" i="23"/>
  <c r="B6" i="22"/>
  <c r="B6" i="21"/>
  <c r="B6" i="20"/>
  <c r="B5" i="19"/>
  <c r="F5" i="16"/>
  <c r="E5" i="15"/>
  <c r="A4" i="14"/>
  <c r="D4" i="13"/>
  <c r="D5" i="12"/>
  <c r="E4" i="11"/>
  <c r="D4" i="3"/>
  <c r="H75" i="22"/>
  <c r="G75" i="22"/>
  <c r="H71" i="22"/>
  <c r="G71" i="22"/>
  <c r="H63" i="22"/>
  <c r="G63" i="22"/>
  <c r="H59" i="22"/>
  <c r="G59" i="22"/>
  <c r="H49" i="22"/>
  <c r="G49" i="22"/>
  <c r="H39" i="22"/>
  <c r="G39" i="22"/>
  <c r="G19" i="22"/>
  <c r="G11" i="22"/>
  <c r="G83" i="22" l="1"/>
  <c r="H5" i="17"/>
  <c r="F16" i="13" s="1"/>
  <c r="J395" i="17" l="1"/>
  <c r="J269" i="17"/>
  <c r="J119" i="17"/>
  <c r="J59" i="17"/>
  <c r="J58" i="17"/>
  <c r="J9" i="17" l="1"/>
  <c r="H38" i="22" l="1"/>
  <c r="J582" i="17"/>
  <c r="H37" i="22" s="1"/>
  <c r="J573" i="17"/>
  <c r="H35" i="22" s="1"/>
  <c r="J552" i="17"/>
  <c r="H32" i="22" s="1"/>
  <c r="J550" i="17"/>
  <c r="H31" i="22" s="1"/>
  <c r="J529" i="17"/>
  <c r="J522" i="17"/>
  <c r="J519" i="17"/>
  <c r="J516" i="17"/>
  <c r="J512" i="17"/>
  <c r="J505" i="17"/>
  <c r="J502" i="17"/>
  <c r="J501" i="17"/>
  <c r="J500" i="17"/>
  <c r="J463" i="17"/>
  <c r="J462" i="17"/>
  <c r="J450" i="17"/>
  <c r="J427" i="17"/>
  <c r="J425" i="17"/>
  <c r="J423" i="17"/>
  <c r="J511" i="17"/>
  <c r="J523" i="17"/>
  <c r="J518" i="17"/>
  <c r="J515" i="17"/>
  <c r="J514" i="17"/>
  <c r="J513" i="17"/>
  <c r="J496" i="17"/>
  <c r="H12" i="22" s="1"/>
  <c r="J504" i="17"/>
  <c r="J498" i="17"/>
  <c r="J461" i="17"/>
  <c r="J449" i="17"/>
  <c r="J429" i="17"/>
  <c r="J428" i="17"/>
  <c r="J424" i="17"/>
  <c r="J422" i="17"/>
  <c r="J316" i="17"/>
  <c r="J313" i="17"/>
  <c r="J312" i="17"/>
  <c r="J314" i="17"/>
  <c r="J311" i="17"/>
  <c r="J282" i="17"/>
  <c r="J281" i="17"/>
  <c r="J280" i="17"/>
  <c r="J279" i="17"/>
  <c r="J278" i="17"/>
  <c r="J277" i="17"/>
  <c r="J276" i="17"/>
  <c r="J273" i="17"/>
  <c r="J271" i="17"/>
  <c r="J270" i="17"/>
  <c r="J267" i="17"/>
  <c r="J266" i="17"/>
  <c r="J265" i="17"/>
  <c r="J261" i="17"/>
  <c r="J260" i="17"/>
  <c r="J259" i="17"/>
  <c r="J258" i="17"/>
  <c r="J272" i="17"/>
  <c r="J275" i="17"/>
  <c r="J264" i="17"/>
  <c r="J263" i="17"/>
  <c r="J48" i="17"/>
  <c r="J43" i="17"/>
  <c r="J11" i="17"/>
  <c r="J65" i="17"/>
  <c r="J64" i="17"/>
  <c r="J63" i="17"/>
  <c r="J61" i="17"/>
  <c r="J57" i="17"/>
  <c r="J56" i="17"/>
  <c r="J55" i="17"/>
  <c r="J54" i="17"/>
  <c r="J53" i="17"/>
  <c r="J52" i="17"/>
  <c r="J51" i="17"/>
  <c r="J50" i="17"/>
  <c r="J49" i="17"/>
  <c r="J47" i="17"/>
  <c r="J46" i="17"/>
  <c r="J45" i="17"/>
  <c r="J44" i="17"/>
  <c r="J29" i="17"/>
  <c r="J25" i="17"/>
  <c r="J23" i="17"/>
  <c r="J22" i="17"/>
  <c r="J21" i="17"/>
  <c r="J20" i="17"/>
  <c r="J19" i="17"/>
  <c r="J18" i="17"/>
  <c r="J17" i="17"/>
  <c r="J16" i="17"/>
  <c r="J15" i="17"/>
  <c r="G18" i="13"/>
  <c r="F18" i="13"/>
  <c r="J62" i="17"/>
  <c r="F20" i="15"/>
  <c r="J257" i="17" l="1"/>
  <c r="J421" i="17"/>
  <c r="J542" i="17"/>
  <c r="H30" i="22" s="1"/>
  <c r="J566" i="17"/>
  <c r="H34" i="22" s="1"/>
  <c r="J575" i="17"/>
  <c r="H36" i="22" s="1"/>
  <c r="J561" i="17"/>
  <c r="H33" i="22" s="1"/>
  <c r="J315" i="17"/>
  <c r="J70" i="17"/>
  <c r="J24" i="17"/>
  <c r="J7" i="17" s="1"/>
  <c r="F27" i="23"/>
  <c r="H29" i="22" l="1"/>
  <c r="L682" i="17"/>
  <c r="L674" i="17" s="1"/>
  <c r="L652" i="17" s="1"/>
  <c r="L588" i="17"/>
  <c r="L582" i="17"/>
  <c r="L575" i="17"/>
  <c r="L573" i="17"/>
  <c r="L566" i="17"/>
  <c r="L561" i="17"/>
  <c r="L552" i="17"/>
  <c r="L550" i="17"/>
  <c r="L542" i="17"/>
  <c r="L536" i="17"/>
  <c r="L534" i="17"/>
  <c r="L530" i="17"/>
  <c r="L528" i="17"/>
  <c r="L525" i="17"/>
  <c r="L521" i="17"/>
  <c r="L517" i="17"/>
  <c r="L510" i="17"/>
  <c r="L506" i="17"/>
  <c r="L503" i="17"/>
  <c r="L499" i="17"/>
  <c r="L497" i="17"/>
  <c r="L495" i="17"/>
  <c r="L494" i="17" s="1"/>
  <c r="L460" i="17"/>
  <c r="L448" i="17"/>
  <c r="L439" i="17" s="1"/>
  <c r="L434" i="17"/>
  <c r="L430" i="17" s="1"/>
  <c r="L421" i="17"/>
  <c r="L416" i="17" s="1"/>
  <c r="L398" i="17" s="1"/>
  <c r="L397" i="17" s="1"/>
  <c r="L394" i="17"/>
  <c r="L392" i="17" s="1"/>
  <c r="L364" i="17"/>
  <c r="L362" i="17" s="1"/>
  <c r="L310" i="17"/>
  <c r="L305" i="17" s="1"/>
  <c r="L257" i="17"/>
  <c r="L248" i="17" s="1"/>
  <c r="L234" i="17"/>
  <c r="L228" i="17" s="1"/>
  <c r="L212" i="17"/>
  <c r="L211" i="17" s="1"/>
  <c r="L152" i="17"/>
  <c r="L143" i="17"/>
  <c r="L137" i="17"/>
  <c r="L136" i="17" s="1"/>
  <c r="L115" i="17"/>
  <c r="L107" i="17"/>
  <c r="L104" i="17" s="1"/>
  <c r="L69" i="17"/>
  <c r="L42" i="17"/>
  <c r="L8" i="17"/>
  <c r="L7" i="17" s="1"/>
  <c r="L5" i="17" s="1"/>
  <c r="L39" i="17" l="1"/>
  <c r="L4" i="17" s="1"/>
  <c r="L357" i="17"/>
  <c r="L114" i="17"/>
  <c r="L92" i="17" s="1"/>
  <c r="L509" i="17"/>
  <c r="L493" i="17" s="1"/>
  <c r="L492" i="17" s="1"/>
  <c r="L541" i="17"/>
  <c r="L247" i="17"/>
  <c r="L246" i="17" s="1"/>
  <c r="F18" i="22"/>
  <c r="F17" i="22"/>
  <c r="F16" i="22"/>
  <c r="H40" i="19"/>
  <c r="H37" i="19"/>
  <c r="H18" i="19"/>
  <c r="F18" i="19"/>
  <c r="H15" i="19"/>
  <c r="F15" i="19"/>
  <c r="G41" i="19"/>
  <c r="G39" i="19"/>
  <c r="G38" i="19"/>
  <c r="G36" i="19"/>
  <c r="G19" i="19"/>
  <c r="G17" i="19"/>
  <c r="G16" i="19"/>
  <c r="G14" i="19"/>
  <c r="G18" i="19" l="1"/>
  <c r="G15" i="19"/>
  <c r="L3" i="17"/>
  <c r="O45" i="12"/>
  <c r="P26" i="12" l="1"/>
  <c r="Q15" i="12"/>
  <c r="Q13" i="12" s="1"/>
  <c r="Q26" i="12"/>
  <c r="P37" i="12"/>
  <c r="Q43" i="12"/>
  <c r="P43" i="12"/>
  <c r="Q51" i="12"/>
  <c r="K364" i="17" l="1"/>
  <c r="I364" i="17"/>
  <c r="H364" i="17"/>
  <c r="G364" i="17"/>
  <c r="O379" i="17"/>
  <c r="O54" i="11"/>
  <c r="O53" i="11"/>
  <c r="O52" i="11"/>
  <c r="O50" i="11"/>
  <c r="O23" i="11"/>
  <c r="O22" i="11"/>
  <c r="O20" i="11"/>
  <c r="O19" i="11"/>
  <c r="O18" i="11"/>
  <c r="O17" i="11"/>
  <c r="G37" i="11"/>
  <c r="G36" i="11"/>
  <c r="G34" i="11"/>
  <c r="G30" i="11"/>
  <c r="G29" i="11"/>
  <c r="G22" i="11"/>
  <c r="G21" i="11"/>
  <c r="G20" i="11"/>
  <c r="G19" i="11"/>
  <c r="G18" i="11"/>
  <c r="O51" i="11" l="1"/>
  <c r="O46" i="12"/>
  <c r="B3" i="30"/>
  <c r="B3" i="26" l="1"/>
  <c r="B3" i="23"/>
  <c r="B3" i="22"/>
  <c r="B3" i="21"/>
  <c r="B3" i="20"/>
  <c r="D100" i="28" l="1"/>
  <c r="D43" i="28"/>
  <c r="D38" i="28"/>
  <c r="D32" i="28"/>
  <c r="D31" i="28" s="1"/>
  <c r="D10" i="28"/>
  <c r="D12" i="29"/>
  <c r="D28" i="22"/>
  <c r="D24" i="22"/>
  <c r="D9" i="28" l="1"/>
  <c r="H18" i="13" l="1"/>
  <c r="I18" i="13" s="1"/>
  <c r="O23" i="17" l="1"/>
  <c r="O22" i="17"/>
  <c r="O21" i="17"/>
  <c r="O20" i="17"/>
  <c r="O19" i="17"/>
  <c r="O18" i="17"/>
  <c r="O17" i="17"/>
  <c r="O16" i="17"/>
  <c r="O15" i="17"/>
  <c r="O14" i="17"/>
  <c r="O13" i="17"/>
  <c r="O12" i="17"/>
  <c r="O11" i="17"/>
  <c r="O10" i="17"/>
  <c r="O9" i="17"/>
  <c r="O8" i="17"/>
  <c r="F7" i="16" l="1"/>
  <c r="D6" i="13"/>
  <c r="B3" i="19"/>
  <c r="E7" i="15"/>
  <c r="A6" i="14"/>
  <c r="D7" i="12"/>
  <c r="O438" i="17" l="1"/>
  <c r="D6" i="3"/>
  <c r="E68" i="11"/>
  <c r="E69" i="11"/>
  <c r="L68" i="11"/>
  <c r="L69" i="11"/>
  <c r="E6" i="11"/>
  <c r="G115" i="17"/>
  <c r="I434" i="17"/>
  <c r="H434" i="17"/>
  <c r="K257" i="17"/>
  <c r="J8" i="17"/>
  <c r="D9" i="29" l="1"/>
  <c r="E27" i="27"/>
  <c r="E31" i="27" s="1"/>
  <c r="D27" i="27"/>
  <c r="D31" i="27" s="1"/>
  <c r="C27" i="27"/>
  <c r="C31" i="27" s="1"/>
  <c r="E11" i="27"/>
  <c r="D11" i="27"/>
  <c r="C11" i="27"/>
  <c r="E8" i="27"/>
  <c r="D8" i="27"/>
  <c r="C8" i="27"/>
  <c r="J39" i="26"/>
  <c r="G39" i="26"/>
  <c r="J38" i="26"/>
  <c r="G38" i="26"/>
  <c r="J37" i="26"/>
  <c r="G37" i="26"/>
  <c r="J36" i="26"/>
  <c r="G36" i="26"/>
  <c r="I35" i="26"/>
  <c r="H35" i="26"/>
  <c r="F35" i="26"/>
  <c r="E35" i="26"/>
  <c r="G35" i="26" s="1"/>
  <c r="J35" i="26" s="1"/>
  <c r="J34" i="26"/>
  <c r="G34" i="26"/>
  <c r="J33" i="26"/>
  <c r="G33" i="26"/>
  <c r="J32" i="26"/>
  <c r="G32" i="26"/>
  <c r="J31" i="26"/>
  <c r="G31" i="26"/>
  <c r="I30" i="26"/>
  <c r="H30" i="26"/>
  <c r="F30" i="26"/>
  <c r="E30" i="26"/>
  <c r="G30" i="26" s="1"/>
  <c r="J30" i="26" s="1"/>
  <c r="J29" i="26"/>
  <c r="G29" i="26"/>
  <c r="J28" i="26"/>
  <c r="G28" i="26"/>
  <c r="I27" i="26"/>
  <c r="H27" i="26"/>
  <c r="F27" i="26"/>
  <c r="G27" i="26" s="1"/>
  <c r="J27" i="26" s="1"/>
  <c r="E27" i="26"/>
  <c r="J26" i="26"/>
  <c r="G26" i="26"/>
  <c r="J25" i="26"/>
  <c r="G25" i="26"/>
  <c r="J24" i="26"/>
  <c r="G24" i="26"/>
  <c r="I23" i="26"/>
  <c r="H23" i="26"/>
  <c r="F23" i="26"/>
  <c r="G23" i="26" s="1"/>
  <c r="J23" i="26" s="1"/>
  <c r="E23" i="26"/>
  <c r="J22" i="26"/>
  <c r="G22" i="26"/>
  <c r="J21" i="26"/>
  <c r="G21" i="26"/>
  <c r="J20" i="26"/>
  <c r="G20" i="26"/>
  <c r="J19" i="26"/>
  <c r="G19" i="26"/>
  <c r="J18" i="26"/>
  <c r="G18" i="26"/>
  <c r="J17" i="26"/>
  <c r="G17" i="26"/>
  <c r="J16" i="26"/>
  <c r="G16" i="26"/>
  <c r="J15" i="26"/>
  <c r="G15" i="26"/>
  <c r="I14" i="26"/>
  <c r="H14" i="26"/>
  <c r="F14" i="26"/>
  <c r="E14" i="26"/>
  <c r="G14" i="26" s="1"/>
  <c r="J14" i="26" s="1"/>
  <c r="G13" i="26"/>
  <c r="J12" i="26"/>
  <c r="G12" i="26"/>
  <c r="H11" i="26"/>
  <c r="F11" i="26"/>
  <c r="E11" i="26"/>
  <c r="E41" i="26" s="1"/>
  <c r="C33" i="25"/>
  <c r="B33" i="25"/>
  <c r="C18" i="25"/>
  <c r="C35" i="25" s="1"/>
  <c r="B18" i="25"/>
  <c r="B35" i="25" s="1"/>
  <c r="D33" i="24"/>
  <c r="F31" i="24"/>
  <c r="D31" i="24"/>
  <c r="H31" i="24" s="1"/>
  <c r="H30" i="24"/>
  <c r="H29" i="24"/>
  <c r="H28" i="24"/>
  <c r="H27" i="24"/>
  <c r="H26" i="24"/>
  <c r="H25" i="24"/>
  <c r="H24" i="24"/>
  <c r="H23" i="24"/>
  <c r="H19" i="24"/>
  <c r="H33" i="24" s="1"/>
  <c r="F19" i="24"/>
  <c r="F33" i="24" s="1"/>
  <c r="D19" i="24"/>
  <c r="H18" i="24"/>
  <c r="H17" i="24"/>
  <c r="H16" i="24"/>
  <c r="H15" i="24"/>
  <c r="H14" i="24"/>
  <c r="H13" i="24"/>
  <c r="H12" i="24"/>
  <c r="H11" i="24"/>
  <c r="H10" i="24"/>
  <c r="I46" i="23"/>
  <c r="F46" i="23"/>
  <c r="I45" i="23"/>
  <c r="F45" i="23"/>
  <c r="I44" i="23"/>
  <c r="F44" i="23"/>
  <c r="I43" i="23"/>
  <c r="F43" i="23"/>
  <c r="H42" i="23"/>
  <c r="G42" i="23"/>
  <c r="E42" i="23"/>
  <c r="D42" i="23"/>
  <c r="F42" i="23" s="1"/>
  <c r="I42" i="23" s="1"/>
  <c r="I40" i="23"/>
  <c r="F40" i="23"/>
  <c r="I39" i="23"/>
  <c r="F39" i="23"/>
  <c r="I38" i="23"/>
  <c r="F38" i="23"/>
  <c r="I37" i="23"/>
  <c r="F37" i="23"/>
  <c r="I36" i="23"/>
  <c r="F36" i="23"/>
  <c r="I35" i="23"/>
  <c r="F35" i="23"/>
  <c r="I34" i="23"/>
  <c r="F34" i="23"/>
  <c r="I33" i="23"/>
  <c r="F33" i="23"/>
  <c r="I32" i="23"/>
  <c r="F32" i="23"/>
  <c r="H31" i="23"/>
  <c r="G31" i="23"/>
  <c r="E31" i="23"/>
  <c r="D31" i="23"/>
  <c r="F31" i="23" s="1"/>
  <c r="I31" i="23" s="1"/>
  <c r="I29" i="23"/>
  <c r="F29" i="23"/>
  <c r="I28" i="23"/>
  <c r="F28" i="23"/>
  <c r="I26" i="23"/>
  <c r="F26" i="23"/>
  <c r="I25" i="23"/>
  <c r="F25" i="23"/>
  <c r="I24" i="23"/>
  <c r="F24" i="23"/>
  <c r="I23" i="23"/>
  <c r="F23" i="23"/>
  <c r="G22" i="23"/>
  <c r="E22" i="23"/>
  <c r="D22" i="23"/>
  <c r="I20" i="23"/>
  <c r="F20" i="23"/>
  <c r="I19" i="23"/>
  <c r="F19" i="23"/>
  <c r="I18" i="23"/>
  <c r="F18" i="23"/>
  <c r="I17" i="23"/>
  <c r="F17" i="23"/>
  <c r="I16" i="23"/>
  <c r="F16" i="23"/>
  <c r="I15" i="23"/>
  <c r="F15" i="23"/>
  <c r="I14" i="23"/>
  <c r="F14" i="23"/>
  <c r="I13" i="23"/>
  <c r="I12" i="23" s="1"/>
  <c r="F13" i="23"/>
  <c r="H12" i="23"/>
  <c r="G12" i="23"/>
  <c r="F12" i="23"/>
  <c r="E12" i="23"/>
  <c r="D12" i="23"/>
  <c r="F82" i="22"/>
  <c r="I82" i="22" s="1"/>
  <c r="F81" i="22"/>
  <c r="I81" i="22" s="1"/>
  <c r="I80" i="22"/>
  <c r="F80" i="22"/>
  <c r="F79" i="22"/>
  <c r="I79" i="22" s="1"/>
  <c r="F78" i="22"/>
  <c r="I78" i="22" s="1"/>
  <c r="F77" i="22"/>
  <c r="I77" i="22" s="1"/>
  <c r="F76" i="22"/>
  <c r="I76" i="22" s="1"/>
  <c r="E75" i="22"/>
  <c r="D75" i="22"/>
  <c r="F74" i="22"/>
  <c r="I74" i="22" s="1"/>
  <c r="F73" i="22"/>
  <c r="I73" i="22" s="1"/>
  <c r="I72" i="22"/>
  <c r="F72" i="22"/>
  <c r="E71" i="22"/>
  <c r="D71" i="22"/>
  <c r="F71" i="22" s="1"/>
  <c r="I71" i="22" s="1"/>
  <c r="I70" i="22"/>
  <c r="F70" i="22"/>
  <c r="F69" i="22"/>
  <c r="I69" i="22" s="1"/>
  <c r="I68" i="22"/>
  <c r="F68" i="22"/>
  <c r="F67" i="22"/>
  <c r="I67" i="22" s="1"/>
  <c r="F66" i="22"/>
  <c r="I66" i="22" s="1"/>
  <c r="F65" i="22"/>
  <c r="I65" i="22" s="1"/>
  <c r="F64" i="22"/>
  <c r="I64" i="22" s="1"/>
  <c r="E63" i="22"/>
  <c r="D63" i="22"/>
  <c r="F63" i="22" s="1"/>
  <c r="I63" i="22" s="1"/>
  <c r="F62" i="22"/>
  <c r="I62" i="22" s="1"/>
  <c r="F61" i="22"/>
  <c r="I61" i="22" s="1"/>
  <c r="F60" i="22"/>
  <c r="I60" i="22" s="1"/>
  <c r="E59" i="22"/>
  <c r="D59" i="22"/>
  <c r="F58" i="22"/>
  <c r="I58" i="22" s="1"/>
  <c r="F57" i="22"/>
  <c r="I57" i="22" s="1"/>
  <c r="F56" i="22"/>
  <c r="I56" i="22" s="1"/>
  <c r="F55" i="22"/>
  <c r="I55" i="22" s="1"/>
  <c r="F54" i="22"/>
  <c r="I54" i="22" s="1"/>
  <c r="F53" i="22"/>
  <c r="I53" i="22" s="1"/>
  <c r="F52" i="22"/>
  <c r="I52" i="22" s="1"/>
  <c r="F51" i="22"/>
  <c r="I51" i="22" s="1"/>
  <c r="F50" i="22"/>
  <c r="I50" i="22" s="1"/>
  <c r="E49" i="22"/>
  <c r="D49" i="22"/>
  <c r="F48" i="22"/>
  <c r="I48" i="22" s="1"/>
  <c r="F47" i="22"/>
  <c r="I47" i="22" s="1"/>
  <c r="F46" i="22"/>
  <c r="I46" i="22" s="1"/>
  <c r="F45" i="22"/>
  <c r="I45" i="22" s="1"/>
  <c r="F44" i="22"/>
  <c r="I44" i="22" s="1"/>
  <c r="F43" i="22"/>
  <c r="I43" i="22" s="1"/>
  <c r="F42" i="22"/>
  <c r="I42" i="22" s="1"/>
  <c r="F41" i="22"/>
  <c r="I41" i="22" s="1"/>
  <c r="F40" i="22"/>
  <c r="I40" i="22" s="1"/>
  <c r="E39" i="22"/>
  <c r="D39" i="22"/>
  <c r="F38" i="22"/>
  <c r="I38" i="22" s="1"/>
  <c r="F37" i="22"/>
  <c r="I37" i="22" s="1"/>
  <c r="F36" i="22"/>
  <c r="I36" i="22" s="1"/>
  <c r="F35" i="22"/>
  <c r="I35" i="22" s="1"/>
  <c r="F34" i="22"/>
  <c r="I34" i="22" s="1"/>
  <c r="F33" i="22"/>
  <c r="I33" i="22" s="1"/>
  <c r="F32" i="22"/>
  <c r="I32" i="22" s="1"/>
  <c r="F31" i="22"/>
  <c r="I31" i="22" s="1"/>
  <c r="F30" i="22"/>
  <c r="I30" i="22" s="1"/>
  <c r="E29" i="22"/>
  <c r="D29" i="22"/>
  <c r="F28" i="22"/>
  <c r="I28" i="22" s="1"/>
  <c r="F27" i="22"/>
  <c r="I27" i="22" s="1"/>
  <c r="F26" i="22"/>
  <c r="F25" i="22"/>
  <c r="F24" i="22"/>
  <c r="I24" i="22" s="1"/>
  <c r="F23" i="22"/>
  <c r="F22" i="22"/>
  <c r="I22" i="22" s="1"/>
  <c r="F21" i="22"/>
  <c r="F20" i="22"/>
  <c r="D19" i="22"/>
  <c r="I18" i="22"/>
  <c r="I17" i="22"/>
  <c r="I16" i="22"/>
  <c r="F15" i="22"/>
  <c r="F14" i="22"/>
  <c r="F13" i="22"/>
  <c r="F12" i="22"/>
  <c r="I12" i="22" s="1"/>
  <c r="E11" i="22"/>
  <c r="E83" i="22" s="1"/>
  <c r="D11" i="22"/>
  <c r="G18" i="21"/>
  <c r="E18" i="21"/>
  <c r="D18" i="21"/>
  <c r="I16" i="21"/>
  <c r="F16" i="21"/>
  <c r="F14" i="21"/>
  <c r="I14" i="21" s="1"/>
  <c r="F12" i="21"/>
  <c r="F18" i="21" s="1"/>
  <c r="G22" i="20"/>
  <c r="E22" i="20"/>
  <c r="D22" i="20"/>
  <c r="I20" i="20"/>
  <c r="F20" i="20"/>
  <c r="F19" i="20"/>
  <c r="I19" i="20" s="1"/>
  <c r="I18" i="20"/>
  <c r="F18" i="20"/>
  <c r="F17" i="20"/>
  <c r="I17" i="20" s="1"/>
  <c r="I16" i="20"/>
  <c r="F16" i="20"/>
  <c r="F15" i="20"/>
  <c r="I15" i="20" s="1"/>
  <c r="I14" i="20"/>
  <c r="F14" i="20"/>
  <c r="F13" i="20"/>
  <c r="I13" i="20" s="1"/>
  <c r="F12" i="20"/>
  <c r="F22" i="20" s="1"/>
  <c r="J52" i="19"/>
  <c r="G52" i="19"/>
  <c r="J51" i="19"/>
  <c r="I51" i="19"/>
  <c r="H51" i="19"/>
  <c r="G51" i="19"/>
  <c r="F51" i="19"/>
  <c r="E51" i="19"/>
  <c r="J49" i="19"/>
  <c r="G49" i="19"/>
  <c r="J48" i="19"/>
  <c r="G48" i="19"/>
  <c r="J47" i="19"/>
  <c r="G47" i="19"/>
  <c r="J46" i="19"/>
  <c r="I46" i="19"/>
  <c r="H46" i="19"/>
  <c r="G46" i="19"/>
  <c r="F46" i="19"/>
  <c r="E46" i="19"/>
  <c r="J44" i="19"/>
  <c r="G44" i="19"/>
  <c r="J43" i="19"/>
  <c r="G43" i="19"/>
  <c r="G42" i="19"/>
  <c r="F54" i="19"/>
  <c r="E40" i="19"/>
  <c r="G40" i="19" s="1"/>
  <c r="E37" i="19"/>
  <c r="J35" i="19"/>
  <c r="G35" i="19"/>
  <c r="J34" i="19"/>
  <c r="G34" i="19"/>
  <c r="J24" i="19"/>
  <c r="G24" i="19"/>
  <c r="J23" i="19"/>
  <c r="G23" i="19"/>
  <c r="J22" i="19"/>
  <c r="G22" i="19"/>
  <c r="J21" i="19"/>
  <c r="G21" i="19"/>
  <c r="J20" i="19"/>
  <c r="G20" i="19"/>
  <c r="E18" i="19"/>
  <c r="J17" i="19"/>
  <c r="E15" i="19"/>
  <c r="E26" i="19" s="1"/>
  <c r="J13" i="19"/>
  <c r="G13" i="19"/>
  <c r="J12" i="19"/>
  <c r="G12" i="19"/>
  <c r="J11" i="19"/>
  <c r="G11" i="19"/>
  <c r="F75" i="22" l="1"/>
  <c r="I75" i="22" s="1"/>
  <c r="H41" i="26"/>
  <c r="E48" i="23"/>
  <c r="F22" i="23"/>
  <c r="G48" i="23"/>
  <c r="G50" i="23" s="1"/>
  <c r="H26" i="19"/>
  <c r="F39" i="22"/>
  <c r="I39" i="22" s="1"/>
  <c r="F59" i="22"/>
  <c r="I59" i="22" s="1"/>
  <c r="E54" i="19"/>
  <c r="F41" i="26"/>
  <c r="D48" i="23"/>
  <c r="D50" i="23" s="1"/>
  <c r="E50" i="23"/>
  <c r="F49" i="22"/>
  <c r="I49" i="22" s="1"/>
  <c r="F29" i="22"/>
  <c r="I29" i="22" s="1"/>
  <c r="G85" i="22"/>
  <c r="E85" i="22"/>
  <c r="F19" i="22"/>
  <c r="F11" i="22"/>
  <c r="E21" i="21"/>
  <c r="G21" i="21"/>
  <c r="F21" i="21"/>
  <c r="D21" i="21"/>
  <c r="H54" i="19"/>
  <c r="H33" i="19"/>
  <c r="F33" i="19"/>
  <c r="E33" i="19"/>
  <c r="F26" i="19"/>
  <c r="G26" i="19"/>
  <c r="E7" i="27"/>
  <c r="E15" i="27" s="1"/>
  <c r="E19" i="27" s="1"/>
  <c r="E23" i="27" s="1"/>
  <c r="C7" i="27"/>
  <c r="C15" i="27" s="1"/>
  <c r="C19" i="27" s="1"/>
  <c r="C23" i="27" s="1"/>
  <c r="D7" i="27"/>
  <c r="D15" i="27" s="1"/>
  <c r="D19" i="27" s="1"/>
  <c r="D23" i="27" s="1"/>
  <c r="D83" i="22"/>
  <c r="D85" i="22" s="1"/>
  <c r="G11" i="26"/>
  <c r="G37" i="19"/>
  <c r="F83" i="22" l="1"/>
  <c r="F85" i="22"/>
  <c r="F48" i="23"/>
  <c r="F50" i="23" s="1"/>
  <c r="G33" i="19"/>
  <c r="G54" i="19"/>
  <c r="G41" i="26"/>
  <c r="O282" i="17"/>
  <c r="O396" i="17"/>
  <c r="O395" i="17"/>
  <c r="O317" i="17"/>
  <c r="O279" i="17"/>
  <c r="O45" i="17" l="1"/>
  <c r="F55" i="16" l="1"/>
  <c r="O55" i="16"/>
  <c r="O54" i="16"/>
  <c r="F54" i="16"/>
  <c r="H45" i="15"/>
  <c r="H44" i="15"/>
  <c r="E45" i="15"/>
  <c r="E44" i="15"/>
  <c r="D51" i="14"/>
  <c r="D50" i="14"/>
  <c r="A51" i="14"/>
  <c r="A50" i="14"/>
  <c r="G42" i="13"/>
  <c r="G41" i="13"/>
  <c r="D42" i="13"/>
  <c r="D41" i="13"/>
  <c r="M60" i="12"/>
  <c r="M59" i="12"/>
  <c r="D60" i="12"/>
  <c r="D59" i="12"/>
  <c r="L61" i="3"/>
  <c r="L60" i="3"/>
  <c r="D61" i="3"/>
  <c r="D60" i="3"/>
  <c r="H34" i="13" l="1"/>
  <c r="H33" i="13"/>
  <c r="H27" i="13"/>
  <c r="H26" i="13"/>
  <c r="H23" i="13"/>
  <c r="H22" i="13"/>
  <c r="H21" i="13"/>
  <c r="H20" i="13"/>
  <c r="H19" i="13"/>
  <c r="N54" i="11" l="1"/>
  <c r="N53" i="11"/>
  <c r="N52" i="11"/>
  <c r="O41" i="12"/>
  <c r="O40" i="12"/>
  <c r="O39" i="12"/>
  <c r="N41" i="12"/>
  <c r="N40" i="12"/>
  <c r="N39" i="12"/>
  <c r="O33" i="12"/>
  <c r="O32" i="12"/>
  <c r="O31" i="12"/>
  <c r="O30" i="12"/>
  <c r="O29" i="12"/>
  <c r="O28" i="12"/>
  <c r="N33" i="12"/>
  <c r="N32" i="12"/>
  <c r="N31" i="12"/>
  <c r="N30" i="12"/>
  <c r="N29" i="12"/>
  <c r="N28" i="12"/>
  <c r="N23" i="11"/>
  <c r="N22" i="11"/>
  <c r="N20" i="11"/>
  <c r="N19" i="11"/>
  <c r="N18" i="11"/>
  <c r="N17" i="11"/>
  <c r="F37" i="11"/>
  <c r="F36" i="11"/>
  <c r="F34" i="11"/>
  <c r="F30" i="11"/>
  <c r="F29" i="11"/>
  <c r="F18" i="11"/>
  <c r="F22" i="11"/>
  <c r="F21" i="11"/>
  <c r="F20" i="11"/>
  <c r="F19" i="11"/>
  <c r="I69" i="17"/>
  <c r="H69" i="17"/>
  <c r="G69" i="17"/>
  <c r="O70" i="17"/>
  <c r="O69" i="17" s="1"/>
  <c r="J69" i="17"/>
  <c r="I115" i="17"/>
  <c r="H115" i="17"/>
  <c r="I362" i="17"/>
  <c r="H362" i="17"/>
  <c r="I394" i="17"/>
  <c r="I392" i="17" s="1"/>
  <c r="H30" i="15" s="1"/>
  <c r="H394" i="17"/>
  <c r="H392" i="17" s="1"/>
  <c r="I682" i="17"/>
  <c r="H682" i="17"/>
  <c r="G682" i="17"/>
  <c r="I506" i="17"/>
  <c r="H506" i="17"/>
  <c r="O507" i="17"/>
  <c r="I499" i="17"/>
  <c r="H499" i="17"/>
  <c r="O502" i="17"/>
  <c r="J508" i="17"/>
  <c r="O508" i="17"/>
  <c r="O506" i="17"/>
  <c r="J497" i="17"/>
  <c r="H13" i="22" s="1"/>
  <c r="I13" i="22" s="1"/>
  <c r="J495" i="17"/>
  <c r="I503" i="17"/>
  <c r="H503" i="17"/>
  <c r="I497" i="17"/>
  <c r="H497" i="17"/>
  <c r="I495" i="17"/>
  <c r="H495" i="17"/>
  <c r="I460" i="17"/>
  <c r="H460" i="17"/>
  <c r="G430" i="17"/>
  <c r="O425" i="17"/>
  <c r="O424" i="17"/>
  <c r="O423" i="17"/>
  <c r="I448" i="17"/>
  <c r="I439" i="17" s="1"/>
  <c r="H448" i="17"/>
  <c r="H439" i="17" s="1"/>
  <c r="G448" i="17"/>
  <c r="G439" i="17" s="1"/>
  <c r="I430" i="17"/>
  <c r="H430" i="17"/>
  <c r="I421" i="17"/>
  <c r="I416" i="17" s="1"/>
  <c r="H421" i="17"/>
  <c r="H416" i="17" s="1"/>
  <c r="G421" i="17"/>
  <c r="G416" i="17" s="1"/>
  <c r="J434" i="17"/>
  <c r="O450" i="17"/>
  <c r="O449" i="17"/>
  <c r="O437" i="17"/>
  <c r="O436" i="17"/>
  <c r="O435" i="17"/>
  <c r="O429" i="17"/>
  <c r="O428" i="17"/>
  <c r="O427" i="17"/>
  <c r="O426" i="17"/>
  <c r="O422" i="17"/>
  <c r="H20" i="16" l="1"/>
  <c r="G19" i="3"/>
  <c r="H18" i="16"/>
  <c r="G17" i="3"/>
  <c r="H19" i="16"/>
  <c r="G18" i="3"/>
  <c r="O434" i="17"/>
  <c r="O430" i="17" s="1"/>
  <c r="H494" i="17"/>
  <c r="I357" i="17"/>
  <c r="O448" i="17"/>
  <c r="O439" i="17" s="1"/>
  <c r="G494" i="17"/>
  <c r="I494" i="17"/>
  <c r="G398" i="17"/>
  <c r="H357" i="17"/>
  <c r="J503" i="17"/>
  <c r="H15" i="22" s="1"/>
  <c r="J499" i="17"/>
  <c r="H14" i="22" s="1"/>
  <c r="I14" i="22" s="1"/>
  <c r="I398" i="17"/>
  <c r="I397" i="17" s="1"/>
  <c r="H398" i="17"/>
  <c r="H397" i="17" s="1"/>
  <c r="J448" i="17"/>
  <c r="J439" i="17" s="1"/>
  <c r="J430" i="17"/>
  <c r="J416" i="17"/>
  <c r="O421" i="17"/>
  <c r="O416" i="17" s="1"/>
  <c r="J685" i="17"/>
  <c r="J684" i="17"/>
  <c r="J683" i="17"/>
  <c r="I674" i="17"/>
  <c r="I652" i="17" s="1"/>
  <c r="H674" i="17"/>
  <c r="H652" i="17" s="1"/>
  <c r="G674" i="17"/>
  <c r="O685" i="17"/>
  <c r="O684" i="17"/>
  <c r="O683" i="17"/>
  <c r="I588" i="17"/>
  <c r="H588" i="17"/>
  <c r="I582" i="17"/>
  <c r="H582" i="17"/>
  <c r="I575" i="17"/>
  <c r="H575" i="17"/>
  <c r="I573" i="17"/>
  <c r="H573" i="17"/>
  <c r="I566" i="17"/>
  <c r="H566" i="17"/>
  <c r="I561" i="17"/>
  <c r="H561" i="17"/>
  <c r="I552" i="17"/>
  <c r="H552" i="17"/>
  <c r="I550" i="17"/>
  <c r="H550" i="17"/>
  <c r="I542" i="17"/>
  <c r="H542" i="17"/>
  <c r="O593" i="17"/>
  <c r="O592" i="17"/>
  <c r="O589" i="17"/>
  <c r="O587" i="17"/>
  <c r="O586" i="17"/>
  <c r="O585" i="17"/>
  <c r="O584" i="17"/>
  <c r="O583" i="17"/>
  <c r="O581" i="17"/>
  <c r="O580" i="17"/>
  <c r="O579" i="17"/>
  <c r="O578" i="17"/>
  <c r="O577" i="17"/>
  <c r="O576" i="17"/>
  <c r="O574" i="17"/>
  <c r="O573" i="17" s="1"/>
  <c r="O572" i="17"/>
  <c r="O571" i="17"/>
  <c r="O569" i="17"/>
  <c r="O568" i="17"/>
  <c r="O567" i="17"/>
  <c r="O565" i="17"/>
  <c r="O564" i="17"/>
  <c r="O563" i="17"/>
  <c r="O562" i="17"/>
  <c r="O560" i="17"/>
  <c r="O559" i="17"/>
  <c r="O558" i="17"/>
  <c r="O557" i="17"/>
  <c r="O556" i="17"/>
  <c r="O555" i="17"/>
  <c r="O554" i="17"/>
  <c r="O553" i="17"/>
  <c r="O551" i="17"/>
  <c r="O550" i="17" s="1"/>
  <c r="O549" i="17"/>
  <c r="O548" i="17"/>
  <c r="O546" i="17"/>
  <c r="O545" i="17"/>
  <c r="O544" i="17"/>
  <c r="O543" i="17"/>
  <c r="J534" i="17"/>
  <c r="J528" i="17"/>
  <c r="H25" i="22" s="1"/>
  <c r="I25" i="22" s="1"/>
  <c r="J526" i="17"/>
  <c r="J520" i="17"/>
  <c r="O540" i="17"/>
  <c r="O539" i="17"/>
  <c r="O538" i="17"/>
  <c r="O537" i="17"/>
  <c r="O535" i="17"/>
  <c r="O534" i="17" s="1"/>
  <c r="O533" i="17"/>
  <c r="O532" i="17"/>
  <c r="O531" i="17"/>
  <c r="O529" i="17"/>
  <c r="O528" i="17" s="1"/>
  <c r="O527" i="17"/>
  <c r="O526" i="17"/>
  <c r="O520" i="17"/>
  <c r="O524" i="17"/>
  <c r="O523" i="17"/>
  <c r="O522" i="17"/>
  <c r="O519" i="17"/>
  <c r="O518" i="17"/>
  <c r="O516" i="17"/>
  <c r="O515" i="17"/>
  <c r="O514" i="17"/>
  <c r="O513" i="17"/>
  <c r="O512" i="17"/>
  <c r="O511" i="17"/>
  <c r="I536" i="17"/>
  <c r="H536" i="17"/>
  <c r="I534" i="17"/>
  <c r="H534" i="17"/>
  <c r="I530" i="17"/>
  <c r="H530" i="17"/>
  <c r="I528" i="17"/>
  <c r="H528" i="17"/>
  <c r="I525" i="17"/>
  <c r="H525" i="17"/>
  <c r="I521" i="17"/>
  <c r="H521" i="17"/>
  <c r="I517" i="17"/>
  <c r="H517" i="17"/>
  <c r="I510" i="17"/>
  <c r="H510" i="17"/>
  <c r="H11" i="22" l="1"/>
  <c r="I15" i="22"/>
  <c r="I41" i="19"/>
  <c r="J41" i="19" s="1"/>
  <c r="J40" i="19" s="1"/>
  <c r="I19" i="19"/>
  <c r="J19" i="19" s="1"/>
  <c r="I14" i="19"/>
  <c r="J14" i="19" s="1"/>
  <c r="I36" i="19"/>
  <c r="J36" i="19" s="1"/>
  <c r="I16" i="19"/>
  <c r="J16" i="19" s="1"/>
  <c r="I38" i="19"/>
  <c r="J38" i="19" s="1"/>
  <c r="J37" i="19" s="1"/>
  <c r="G652" i="17"/>
  <c r="O47" i="3"/>
  <c r="H43" i="16"/>
  <c r="H28" i="16"/>
  <c r="O14" i="3"/>
  <c r="J494" i="17"/>
  <c r="J682" i="17"/>
  <c r="J674" i="17" s="1"/>
  <c r="J652" i="17" s="1"/>
  <c r="O517" i="17"/>
  <c r="O521" i="17"/>
  <c r="O552" i="17"/>
  <c r="O566" i="17"/>
  <c r="O582" i="17"/>
  <c r="O398" i="17"/>
  <c r="O588" i="17"/>
  <c r="O542" i="17"/>
  <c r="O561" i="17"/>
  <c r="I541" i="17"/>
  <c r="O682" i="17"/>
  <c r="O674" i="17" s="1"/>
  <c r="O652" i="17" s="1"/>
  <c r="H541" i="17"/>
  <c r="G541" i="17"/>
  <c r="O530" i="17"/>
  <c r="O575" i="17"/>
  <c r="O525" i="17"/>
  <c r="J525" i="17"/>
  <c r="G509" i="17"/>
  <c r="J398" i="17"/>
  <c r="H509" i="17"/>
  <c r="J517" i="17"/>
  <c r="H21" i="22" s="1"/>
  <c r="I21" i="22" s="1"/>
  <c r="J536" i="17"/>
  <c r="J510" i="17"/>
  <c r="H20" i="22" s="1"/>
  <c r="I20" i="22" s="1"/>
  <c r="J530" i="17"/>
  <c r="H26" i="22" s="1"/>
  <c r="I26" i="22" s="1"/>
  <c r="O536" i="17"/>
  <c r="J521" i="17"/>
  <c r="H23" i="22" s="1"/>
  <c r="I23" i="22" s="1"/>
  <c r="O510" i="17"/>
  <c r="I509" i="17"/>
  <c r="O505" i="17"/>
  <c r="O504" i="17"/>
  <c r="O501" i="17"/>
  <c r="O500" i="17"/>
  <c r="O498" i="17"/>
  <c r="O497" i="17" s="1"/>
  <c r="O496" i="17"/>
  <c r="O495" i="17" s="1"/>
  <c r="I11" i="22" l="1"/>
  <c r="H19" i="22"/>
  <c r="H83" i="22" s="1"/>
  <c r="I37" i="19"/>
  <c r="I18" i="19"/>
  <c r="J18" i="19"/>
  <c r="I15" i="19"/>
  <c r="J15" i="19"/>
  <c r="I40" i="19"/>
  <c r="H29" i="16"/>
  <c r="O15" i="3"/>
  <c r="O16" i="3"/>
  <c r="H30" i="16"/>
  <c r="O541" i="17"/>
  <c r="I493" i="17"/>
  <c r="I492" i="17" s="1"/>
  <c r="H493" i="17"/>
  <c r="H492" i="17" s="1"/>
  <c r="G493" i="17"/>
  <c r="G492" i="17" s="1"/>
  <c r="O509" i="17"/>
  <c r="J541" i="17"/>
  <c r="J509" i="17"/>
  <c r="O503" i="17"/>
  <c r="O499" i="17"/>
  <c r="O26" i="12"/>
  <c r="N26" i="12"/>
  <c r="G460" i="17"/>
  <c r="O463" i="17"/>
  <c r="O462" i="17"/>
  <c r="J396" i="17"/>
  <c r="G394" i="17"/>
  <c r="O377" i="17"/>
  <c r="O376" i="17"/>
  <c r="O375" i="17"/>
  <c r="O374" i="17"/>
  <c r="O373" i="17"/>
  <c r="O372" i="17"/>
  <c r="O371" i="17"/>
  <c r="O370" i="17"/>
  <c r="O369" i="17"/>
  <c r="O368" i="17"/>
  <c r="O367" i="17"/>
  <c r="O366" i="17"/>
  <c r="O365" i="17"/>
  <c r="J377" i="17"/>
  <c r="J376" i="17"/>
  <c r="J375" i="17"/>
  <c r="J374" i="17"/>
  <c r="J373" i="17"/>
  <c r="J372" i="17"/>
  <c r="J371" i="17"/>
  <c r="J370" i="17"/>
  <c r="J369" i="17"/>
  <c r="J368" i="17"/>
  <c r="J367" i="17"/>
  <c r="J366" i="17"/>
  <c r="J365" i="17"/>
  <c r="G362" i="17"/>
  <c r="I310" i="17"/>
  <c r="I305" i="17" s="1"/>
  <c r="G310" i="17"/>
  <c r="G305" i="17" s="1"/>
  <c r="I248" i="17"/>
  <c r="O314" i="17"/>
  <c r="O311" i="17"/>
  <c r="O316" i="17"/>
  <c r="O283" i="17"/>
  <c r="O281" i="17"/>
  <c r="O280" i="17"/>
  <c r="O278" i="17"/>
  <c r="O277" i="17"/>
  <c r="O273" i="17"/>
  <c r="O272" i="17"/>
  <c r="O271" i="17"/>
  <c r="O261" i="17"/>
  <c r="O259" i="17"/>
  <c r="O258" i="17"/>
  <c r="O275" i="17"/>
  <c r="G248" i="17"/>
  <c r="G137" i="17"/>
  <c r="G136" i="17" s="1"/>
  <c r="O64" i="17"/>
  <c r="I19" i="22" l="1"/>
  <c r="I83" i="22" s="1"/>
  <c r="I54" i="19"/>
  <c r="I26" i="19"/>
  <c r="J33" i="19"/>
  <c r="J54" i="19" s="1"/>
  <c r="J26" i="19"/>
  <c r="I33" i="19"/>
  <c r="O16" i="11"/>
  <c r="O17" i="12"/>
  <c r="G397" i="17"/>
  <c r="H23" i="16"/>
  <c r="G24" i="3"/>
  <c r="O21" i="11"/>
  <c r="O22" i="12"/>
  <c r="J364" i="17"/>
  <c r="N51" i="11" s="1"/>
  <c r="G392" i="17"/>
  <c r="F17" i="15" s="1"/>
  <c r="O54" i="12"/>
  <c r="O59" i="11"/>
  <c r="O364" i="17"/>
  <c r="O494" i="17"/>
  <c r="O493" i="17" s="1"/>
  <c r="O492" i="17" s="1"/>
  <c r="G247" i="17"/>
  <c r="G246" i="17" s="1"/>
  <c r="I247" i="17"/>
  <c r="I246" i="17" s="1"/>
  <c r="H310" i="17"/>
  <c r="H305" i="17" s="1"/>
  <c r="O394" i="17"/>
  <c r="O392" i="17" s="1"/>
  <c r="O312" i="17"/>
  <c r="O260" i="17"/>
  <c r="O313" i="17"/>
  <c r="H248" i="17"/>
  <c r="J394" i="17"/>
  <c r="O461" i="17"/>
  <c r="J493" i="17"/>
  <c r="J492" i="17" s="1"/>
  <c r="H12" i="21" s="1"/>
  <c r="I12" i="21" s="1"/>
  <c r="I18" i="21" s="1"/>
  <c r="O315" i="17"/>
  <c r="J460" i="17"/>
  <c r="J397" i="17" s="1"/>
  <c r="O276" i="17"/>
  <c r="J248" i="17" l="1"/>
  <c r="N16" i="11" s="1"/>
  <c r="I13" i="26"/>
  <c r="H18" i="21"/>
  <c r="H27" i="23"/>
  <c r="G357" i="17"/>
  <c r="J310" i="17"/>
  <c r="J305" i="17" s="1"/>
  <c r="O310" i="17"/>
  <c r="O305" i="17" s="1"/>
  <c r="O257" i="17"/>
  <c r="O248" i="17" s="1"/>
  <c r="O362" i="17"/>
  <c r="O357" i="17" s="1"/>
  <c r="H247" i="17"/>
  <c r="H246" i="17" s="1"/>
  <c r="J392" i="17"/>
  <c r="I11" i="26" l="1"/>
  <c r="J13" i="26"/>
  <c r="H22" i="20"/>
  <c r="H85" i="22" s="1"/>
  <c r="I12" i="20"/>
  <c r="I22" i="20" s="1"/>
  <c r="H22" i="23"/>
  <c r="I27" i="23"/>
  <c r="H33" i="15"/>
  <c r="J362" i="17"/>
  <c r="J357" i="17" s="1"/>
  <c r="N21" i="11"/>
  <c r="J247" i="17"/>
  <c r="J246" i="17" s="1"/>
  <c r="O247" i="17"/>
  <c r="O246" i="17" s="1"/>
  <c r="O235" i="17"/>
  <c r="J235" i="17"/>
  <c r="I234" i="17"/>
  <c r="I228" i="17" s="1"/>
  <c r="G32" i="13" s="1"/>
  <c r="H234" i="17"/>
  <c r="H228" i="17" s="1"/>
  <c r="F32" i="13" s="1"/>
  <c r="G234" i="17"/>
  <c r="G228" i="17" s="1"/>
  <c r="J217" i="17"/>
  <c r="J216" i="17"/>
  <c r="J215" i="17"/>
  <c r="J214" i="17"/>
  <c r="J213" i="17"/>
  <c r="O217" i="17"/>
  <c r="O216" i="17"/>
  <c r="O215" i="17"/>
  <c r="O214" i="17"/>
  <c r="O213" i="17"/>
  <c r="I212" i="17"/>
  <c r="I211" i="17" s="1"/>
  <c r="G30" i="13" s="1"/>
  <c r="H212" i="17"/>
  <c r="H211" i="17" s="1"/>
  <c r="F30" i="13" s="1"/>
  <c r="G212" i="17"/>
  <c r="G211" i="17" s="1"/>
  <c r="O208" i="17"/>
  <c r="O207" i="17"/>
  <c r="O206" i="17"/>
  <c r="O205" i="17"/>
  <c r="O204" i="17"/>
  <c r="O203" i="17"/>
  <c r="O202" i="17"/>
  <c r="O201" i="17"/>
  <c r="O200" i="17"/>
  <c r="O199" i="17"/>
  <c r="O198" i="17"/>
  <c r="O197" i="17"/>
  <c r="O196" i="17"/>
  <c r="O195" i="17"/>
  <c r="O194" i="17"/>
  <c r="O193" i="17"/>
  <c r="O192" i="17"/>
  <c r="O191" i="17"/>
  <c r="O190" i="17"/>
  <c r="O189" i="17"/>
  <c r="O188" i="17"/>
  <c r="O187" i="17"/>
  <c r="O186" i="17"/>
  <c r="O185" i="17"/>
  <c r="O184" i="17"/>
  <c r="O183" i="17"/>
  <c r="O182" i="17"/>
  <c r="O181" i="17"/>
  <c r="O180" i="17"/>
  <c r="O179" i="17"/>
  <c r="O178" i="17"/>
  <c r="O177" i="17"/>
  <c r="O176" i="17"/>
  <c r="O175" i="17"/>
  <c r="O174" i="17"/>
  <c r="O173" i="17"/>
  <c r="O172" i="17"/>
  <c r="O171" i="17"/>
  <c r="O170" i="17"/>
  <c r="O169" i="17"/>
  <c r="O168" i="17"/>
  <c r="O167" i="17"/>
  <c r="O166" i="17"/>
  <c r="O165" i="17"/>
  <c r="O164" i="17"/>
  <c r="O163" i="17"/>
  <c r="O162" i="17"/>
  <c r="O161" i="17"/>
  <c r="O160" i="17"/>
  <c r="O159" i="17"/>
  <c r="O158" i="17"/>
  <c r="O157" i="17"/>
  <c r="O156" i="17"/>
  <c r="O155" i="17"/>
  <c r="O154" i="17"/>
  <c r="O153" i="17"/>
  <c r="J208" i="17"/>
  <c r="J207" i="17"/>
  <c r="J206" i="17"/>
  <c r="J205" i="17"/>
  <c r="J204" i="17"/>
  <c r="J203" i="17"/>
  <c r="J202" i="17"/>
  <c r="J201" i="17"/>
  <c r="J200" i="17"/>
  <c r="J199" i="17"/>
  <c r="J198" i="17"/>
  <c r="J197" i="17"/>
  <c r="J196" i="17"/>
  <c r="J195" i="17"/>
  <c r="J194" i="17"/>
  <c r="J193" i="17"/>
  <c r="J192" i="17"/>
  <c r="J191" i="17"/>
  <c r="J190" i="17"/>
  <c r="J189" i="17"/>
  <c r="J188" i="17"/>
  <c r="J187" i="17"/>
  <c r="J186" i="17"/>
  <c r="J185" i="17"/>
  <c r="J184" i="17"/>
  <c r="J183" i="17"/>
  <c r="J182" i="17"/>
  <c r="J181" i="17"/>
  <c r="J180" i="17"/>
  <c r="J179" i="17"/>
  <c r="J178" i="17"/>
  <c r="J177" i="17"/>
  <c r="J176" i="17"/>
  <c r="J175" i="17"/>
  <c r="J174" i="17"/>
  <c r="J173" i="17"/>
  <c r="J172" i="17"/>
  <c r="J171" i="17"/>
  <c r="J170" i="17"/>
  <c r="J169" i="17"/>
  <c r="J168" i="17"/>
  <c r="J167" i="17"/>
  <c r="J166" i="17"/>
  <c r="J165" i="17"/>
  <c r="J164" i="17"/>
  <c r="J163" i="17"/>
  <c r="J162" i="17"/>
  <c r="J161" i="17"/>
  <c r="J160" i="17"/>
  <c r="J159" i="17"/>
  <c r="J158" i="17"/>
  <c r="J157" i="17"/>
  <c r="J156" i="17"/>
  <c r="J155" i="17"/>
  <c r="J154" i="17"/>
  <c r="J153" i="17"/>
  <c r="I152" i="17"/>
  <c r="H152" i="17"/>
  <c r="G152" i="17"/>
  <c r="I143" i="17"/>
  <c r="H143" i="17"/>
  <c r="G143" i="17"/>
  <c r="J150" i="17"/>
  <c r="J149" i="17"/>
  <c r="J148" i="17"/>
  <c r="J147" i="17"/>
  <c r="J146" i="17"/>
  <c r="J145" i="17"/>
  <c r="J144" i="17"/>
  <c r="O150" i="17"/>
  <c r="O149" i="17"/>
  <c r="O148" i="17"/>
  <c r="O147" i="17"/>
  <c r="O146" i="17"/>
  <c r="O145" i="17"/>
  <c r="O144" i="17"/>
  <c r="O141" i="17"/>
  <c r="O140" i="17"/>
  <c r="O139" i="17"/>
  <c r="O138" i="17"/>
  <c r="O137" i="17"/>
  <c r="J141" i="17"/>
  <c r="J140" i="17"/>
  <c r="J139" i="17"/>
  <c r="J138" i="17"/>
  <c r="J137" i="17"/>
  <c r="O135" i="17"/>
  <c r="O134" i="17"/>
  <c r="O133" i="17"/>
  <c r="O132" i="17"/>
  <c r="O131" i="17"/>
  <c r="O130" i="17"/>
  <c r="O129" i="17"/>
  <c r="O128" i="17"/>
  <c r="O127" i="17"/>
  <c r="O126" i="17"/>
  <c r="O125" i="17"/>
  <c r="O124" i="17"/>
  <c r="O123" i="17"/>
  <c r="O122" i="17"/>
  <c r="O121" i="17"/>
  <c r="O120" i="17"/>
  <c r="O119" i="17"/>
  <c r="O118" i="17"/>
  <c r="O117" i="17"/>
  <c r="O116" i="17"/>
  <c r="J135" i="17"/>
  <c r="J134" i="17"/>
  <c r="J133" i="17"/>
  <c r="J132" i="17"/>
  <c r="J131" i="17"/>
  <c r="J130" i="17"/>
  <c r="J129" i="17"/>
  <c r="J128" i="17"/>
  <c r="J127" i="17"/>
  <c r="J126" i="17"/>
  <c r="J125" i="17"/>
  <c r="J124" i="17"/>
  <c r="J123" i="17"/>
  <c r="J122" i="17"/>
  <c r="J121" i="17"/>
  <c r="J120" i="17"/>
  <c r="J118" i="17"/>
  <c r="J117" i="17"/>
  <c r="J116" i="17"/>
  <c r="I109" i="17"/>
  <c r="I108" i="17" s="1"/>
  <c r="I107" i="17" s="1"/>
  <c r="I104" i="17" s="1"/>
  <c r="G28" i="13" s="1"/>
  <c r="H109" i="17"/>
  <c r="H108" i="17" s="1"/>
  <c r="O109" i="17"/>
  <c r="O108" i="17"/>
  <c r="G107" i="17"/>
  <c r="O53" i="17"/>
  <c r="O50" i="17"/>
  <c r="O49" i="17"/>
  <c r="O65" i="17"/>
  <c r="O63" i="17"/>
  <c r="O62" i="17"/>
  <c r="O52" i="17"/>
  <c r="O51" i="17"/>
  <c r="O48" i="17"/>
  <c r="O47" i="17"/>
  <c r="O46" i="17"/>
  <c r="O44" i="17"/>
  <c r="O43" i="17"/>
  <c r="I42" i="17"/>
  <c r="H42" i="17"/>
  <c r="G42" i="17"/>
  <c r="G39" i="17" s="1"/>
  <c r="G16" i="13"/>
  <c r="G5" i="17"/>
  <c r="H21" i="21" l="1"/>
  <c r="I21" i="21"/>
  <c r="I85" i="22"/>
  <c r="H48" i="23"/>
  <c r="H50" i="23" s="1"/>
  <c r="I22" i="23"/>
  <c r="I48" i="23" s="1"/>
  <c r="I50" i="23" s="1"/>
  <c r="I41" i="26"/>
  <c r="J11" i="26"/>
  <c r="J41" i="26" s="1"/>
  <c r="I39" i="17"/>
  <c r="I4" i="17" s="1"/>
  <c r="G17" i="13"/>
  <c r="G14" i="13" s="1"/>
  <c r="H39" i="17"/>
  <c r="H4" i="17" s="1"/>
  <c r="F17" i="13"/>
  <c r="F14" i="13" s="1"/>
  <c r="G104" i="17"/>
  <c r="Q20" i="16"/>
  <c r="Q15" i="16"/>
  <c r="F33" i="12"/>
  <c r="E32" i="13"/>
  <c r="H32" i="13" s="1"/>
  <c r="I32" i="13" s="1"/>
  <c r="G35" i="11"/>
  <c r="H114" i="17"/>
  <c r="F29" i="13" s="1"/>
  <c r="F17" i="12"/>
  <c r="E16" i="13"/>
  <c r="G16" i="11"/>
  <c r="F18" i="12"/>
  <c r="E17" i="13"/>
  <c r="I92" i="17"/>
  <c r="F31" i="12"/>
  <c r="E30" i="13"/>
  <c r="G33" i="11"/>
  <c r="J115" i="17"/>
  <c r="J212" i="17"/>
  <c r="J211" i="17" s="1"/>
  <c r="K185" i="17"/>
  <c r="G25" i="13"/>
  <c r="O7" i="17"/>
  <c r="O5" i="17" s="1"/>
  <c r="G114" i="17"/>
  <c r="F30" i="12" s="1"/>
  <c r="G4" i="17"/>
  <c r="P48" i="16" s="1"/>
  <c r="J109" i="17"/>
  <c r="J108" i="17"/>
  <c r="H107" i="17"/>
  <c r="H104" i="17" s="1"/>
  <c r="G30" i="16"/>
  <c r="G29" i="16"/>
  <c r="G28" i="16"/>
  <c r="N45" i="12"/>
  <c r="N16" i="3"/>
  <c r="N15" i="3"/>
  <c r="N14" i="3"/>
  <c r="G20" i="16"/>
  <c r="G19" i="16"/>
  <c r="G18" i="16"/>
  <c r="G43" i="16"/>
  <c r="O460" i="17"/>
  <c r="G23" i="16"/>
  <c r="J143" i="17"/>
  <c r="N22" i="12"/>
  <c r="P22" i="12" s="1"/>
  <c r="O18" i="12"/>
  <c r="N18" i="12"/>
  <c r="O212" i="17"/>
  <c r="O211" i="17" s="1"/>
  <c r="P208" i="17"/>
  <c r="P185" i="17"/>
  <c r="P175" i="17"/>
  <c r="O152" i="17"/>
  <c r="J152" i="17"/>
  <c r="O115" i="17"/>
  <c r="O234" i="17"/>
  <c r="O228" i="17" s="1"/>
  <c r="O143" i="17"/>
  <c r="O136" i="17"/>
  <c r="O107" i="17"/>
  <c r="J234" i="17"/>
  <c r="J228" i="17" s="1"/>
  <c r="J136" i="17"/>
  <c r="P46" i="16" l="1"/>
  <c r="H30" i="13"/>
  <c r="I30" i="13" s="1"/>
  <c r="E14" i="13"/>
  <c r="F29" i="12"/>
  <c r="E28" i="13"/>
  <c r="G31" i="11"/>
  <c r="J114" i="17"/>
  <c r="Q16" i="16"/>
  <c r="Q21" i="16"/>
  <c r="E29" i="13"/>
  <c r="G32" i="11"/>
  <c r="G36" i="13"/>
  <c r="G12" i="13"/>
  <c r="O114" i="17"/>
  <c r="H16" i="13"/>
  <c r="I16" i="13" s="1"/>
  <c r="E33" i="12"/>
  <c r="F35" i="11"/>
  <c r="E31" i="12"/>
  <c r="F33" i="11"/>
  <c r="O104" i="17"/>
  <c r="O397" i="17"/>
  <c r="F28" i="13"/>
  <c r="H92" i="17"/>
  <c r="H3" i="17" s="1"/>
  <c r="G92" i="17"/>
  <c r="G3" i="17" s="1"/>
  <c r="J107" i="17"/>
  <c r="I3" i="17"/>
  <c r="O15" i="12"/>
  <c r="O13" i="12" s="1"/>
  <c r="F17" i="3"/>
  <c r="N17" i="12"/>
  <c r="F19" i="3"/>
  <c r="N47" i="3"/>
  <c r="F18" i="3"/>
  <c r="F24" i="3"/>
  <c r="N46" i="12"/>
  <c r="H14" i="13" l="1"/>
  <c r="I14" i="13" s="1"/>
  <c r="E25" i="13"/>
  <c r="E12" i="13" s="1"/>
  <c r="H29" i="13"/>
  <c r="I29" i="13" s="1"/>
  <c r="H28" i="13"/>
  <c r="I28" i="13" s="1"/>
  <c r="F25" i="13"/>
  <c r="N15" i="12"/>
  <c r="N13" i="12" s="1"/>
  <c r="P17" i="12"/>
  <c r="P15" i="12" s="1"/>
  <c r="P13" i="12" s="1"/>
  <c r="P15" i="16"/>
  <c r="P20" i="16"/>
  <c r="J104" i="17"/>
  <c r="P21" i="16"/>
  <c r="F32" i="11"/>
  <c r="O92" i="17"/>
  <c r="N54" i="12"/>
  <c r="P54" i="12" s="1"/>
  <c r="P16" i="16"/>
  <c r="E30" i="12"/>
  <c r="O42" i="17"/>
  <c r="J42" i="17"/>
  <c r="J39" i="17" s="1"/>
  <c r="J5" i="17"/>
  <c r="E36" i="13" l="1"/>
  <c r="F12" i="13"/>
  <c r="H12" i="13" s="1"/>
  <c r="F36" i="13"/>
  <c r="H25" i="13"/>
  <c r="I25" i="13" s="1"/>
  <c r="H30" i="12"/>
  <c r="E29" i="12"/>
  <c r="F31" i="11"/>
  <c r="J92" i="17"/>
  <c r="F16" i="11"/>
  <c r="F17" i="11"/>
  <c r="O39" i="17"/>
  <c r="H17" i="13" s="1"/>
  <c r="I17" i="13" s="1"/>
  <c r="E17" i="12"/>
  <c r="G17" i="12" s="1"/>
  <c r="P51" i="12"/>
  <c r="P35" i="12" s="1"/>
  <c r="Q37" i="16"/>
  <c r="Q36" i="16" s="1"/>
  <c r="P37" i="16"/>
  <c r="P36" i="16" s="1"/>
  <c r="Q30" i="16"/>
  <c r="Q29" i="16" s="1"/>
  <c r="P30" i="16"/>
  <c r="P29" i="16" s="1"/>
  <c r="Q19" i="16"/>
  <c r="P19" i="16"/>
  <c r="Q14" i="16"/>
  <c r="P14" i="16"/>
  <c r="H27" i="16"/>
  <c r="G27" i="16"/>
  <c r="H14" i="16"/>
  <c r="G14" i="16"/>
  <c r="H36" i="13" l="1"/>
  <c r="I36" i="13" s="1"/>
  <c r="I12" i="13"/>
  <c r="E18" i="12"/>
  <c r="J4" i="17"/>
  <c r="J3" i="17" s="1"/>
  <c r="O4" i="17"/>
  <c r="O3" i="17" s="1"/>
  <c r="H46" i="16"/>
  <c r="Q24" i="16"/>
  <c r="Q49" i="16" s="1"/>
  <c r="Q43" i="16"/>
  <c r="G46" i="16"/>
  <c r="P24" i="16"/>
  <c r="P43" i="16"/>
  <c r="P49" i="16"/>
  <c r="H18" i="12" l="1"/>
  <c r="J36" i="15"/>
  <c r="J35" i="15"/>
  <c r="J34" i="15"/>
  <c r="J33" i="15"/>
  <c r="I32" i="15"/>
  <c r="H32" i="15"/>
  <c r="G32" i="15"/>
  <c r="F32" i="15"/>
  <c r="J30" i="15"/>
  <c r="J29" i="15"/>
  <c r="J28" i="15"/>
  <c r="I27" i="15"/>
  <c r="H27" i="15"/>
  <c r="G27" i="15"/>
  <c r="F27" i="15"/>
  <c r="J23" i="15"/>
  <c r="J22" i="15"/>
  <c r="J21" i="15"/>
  <c r="J20" i="15"/>
  <c r="I19" i="15"/>
  <c r="H19" i="15"/>
  <c r="G19" i="15"/>
  <c r="F19" i="15"/>
  <c r="J17" i="15"/>
  <c r="J16" i="15"/>
  <c r="J15" i="15"/>
  <c r="I14" i="15"/>
  <c r="I25" i="15" s="1"/>
  <c r="I38" i="15" s="1"/>
  <c r="H14" i="15"/>
  <c r="G14" i="15"/>
  <c r="F14" i="15"/>
  <c r="J12" i="15"/>
  <c r="F33" i="14"/>
  <c r="E33" i="14"/>
  <c r="F28" i="14"/>
  <c r="E28" i="14"/>
  <c r="E39" i="14" s="1"/>
  <c r="F19" i="14"/>
  <c r="E19" i="14"/>
  <c r="F14" i="14"/>
  <c r="E14" i="14"/>
  <c r="E25" i="14" s="1"/>
  <c r="F39" i="14" l="1"/>
  <c r="F25" i="14"/>
  <c r="F25" i="15"/>
  <c r="F38" i="15" s="1"/>
  <c r="G25" i="15"/>
  <c r="G38" i="15" s="1"/>
  <c r="H25" i="15"/>
  <c r="H38" i="15" s="1"/>
  <c r="J32" i="15"/>
  <c r="J19" i="15"/>
  <c r="J27" i="15"/>
  <c r="J14" i="15"/>
  <c r="F43" i="14"/>
  <c r="E43" i="14"/>
  <c r="N43" i="12"/>
  <c r="N37" i="12"/>
  <c r="O43" i="12"/>
  <c r="O37" i="12"/>
  <c r="F25" i="12"/>
  <c r="F15" i="12"/>
  <c r="E25" i="12"/>
  <c r="E15" i="12"/>
  <c r="H25" i="12"/>
  <c r="G25" i="12"/>
  <c r="H15" i="12"/>
  <c r="G15" i="12"/>
  <c r="Q49" i="12"/>
  <c r="F13" i="12" l="1"/>
  <c r="G13" i="12"/>
  <c r="J25" i="15"/>
  <c r="J38" i="15"/>
  <c r="H13" i="12"/>
  <c r="E13" i="12"/>
  <c r="O56" i="11"/>
  <c r="N56" i="11"/>
  <c r="O48" i="11"/>
  <c r="N48" i="11"/>
  <c r="O42" i="11"/>
  <c r="N42" i="11"/>
  <c r="O36" i="11"/>
  <c r="N36" i="11"/>
  <c r="O25" i="11"/>
  <c r="N25" i="11"/>
  <c r="G24" i="11"/>
  <c r="F24" i="11"/>
  <c r="O49" i="3"/>
  <c r="N49" i="3"/>
  <c r="O41" i="3"/>
  <c r="N41" i="3"/>
  <c r="O34" i="3"/>
  <c r="N34" i="3"/>
  <c r="O29" i="3"/>
  <c r="N29" i="3"/>
  <c r="O18" i="3"/>
  <c r="N18" i="3"/>
  <c r="O13" i="3"/>
  <c r="N13" i="3"/>
  <c r="G27" i="3"/>
  <c r="F27" i="3"/>
  <c r="G23" i="3"/>
  <c r="F23" i="3"/>
  <c r="G13" i="3"/>
  <c r="F13" i="3"/>
  <c r="F41" i="11" l="1"/>
  <c r="O52" i="3"/>
  <c r="G41" i="11"/>
  <c r="O61" i="11"/>
  <c r="N38" i="11"/>
  <c r="F34" i="3"/>
  <c r="N52" i="3"/>
  <c r="N61" i="11"/>
  <c r="G34" i="3"/>
  <c r="O38" i="11"/>
  <c r="O63" i="11" l="1"/>
  <c r="O54" i="3"/>
  <c r="N54" i="3"/>
  <c r="H31" i="13"/>
  <c r="Q37" i="12"/>
  <c r="Q39" i="12"/>
</calcChain>
</file>

<file path=xl/sharedStrings.xml><?xml version="1.0" encoding="utf-8"?>
<sst xmlns="http://schemas.openxmlformats.org/spreadsheetml/2006/main" count="2908" uniqueCount="1265">
  <si>
    <t>( P E S O S )</t>
  </si>
  <si>
    <t>PASIVO</t>
  </si>
  <si>
    <t>INGRESOS Y OTROS BENEFICIOS</t>
  </si>
  <si>
    <t xml:space="preserve"> </t>
  </si>
  <si>
    <t>TOTAL</t>
  </si>
  <si>
    <t>(B)</t>
  </si>
  <si>
    <t>( E )</t>
  </si>
  <si>
    <t>( D )</t>
  </si>
  <si>
    <t>( F )</t>
  </si>
  <si>
    <t>( J )</t>
  </si>
  <si>
    <t>( K )</t>
  </si>
  <si>
    <t>( L )</t>
  </si>
  <si>
    <t>(A)</t>
  </si>
  <si>
    <t>GÉNERO</t>
  </si>
  <si>
    <t>GRUPO</t>
  </si>
  <si>
    <t>(C)</t>
  </si>
  <si>
    <t>RUBRO</t>
  </si>
  <si>
    <t>(D)</t>
  </si>
  <si>
    <t>(E)</t>
  </si>
  <si>
    <t>DESCRIPCION DE LA CUENTA</t>
  </si>
  <si>
    <t>(F)</t>
  </si>
  <si>
    <t>SALDO ACUMULADO AL MES DE CIERRE, EJERCICIO ACTUAL</t>
  </si>
  <si>
    <t>(G)</t>
  </si>
  <si>
    <t>PARAMETROS.</t>
  </si>
  <si>
    <t>(H)</t>
  </si>
  <si>
    <t>(I)</t>
  </si>
  <si>
    <t>(K)</t>
  </si>
  <si>
    <t>(L)</t>
  </si>
  <si>
    <t>(M)</t>
  </si>
  <si>
    <t>(N)</t>
  </si>
  <si>
    <t>SALDO FINAL DEL EJERCICIO ANTERIOR</t>
  </si>
  <si>
    <t>CARGOS ACUMULADOS AL CIERRE DEL MES</t>
  </si>
  <si>
    <t>ABONOS ACUMULADOS AL CIERRE DEL MES</t>
  </si>
  <si>
    <t>(J)</t>
  </si>
  <si>
    <t>ORIGEN</t>
  </si>
  <si>
    <t>APLICACIÓN</t>
  </si>
  <si>
    <t xml:space="preserve"> ( C )</t>
  </si>
  <si>
    <t>SALDO ACUMULADO AL MES DE CIERRE,  EJERCICIO ANTERIOR</t>
  </si>
  <si>
    <t>PODER EJECUTIVO</t>
  </si>
  <si>
    <t>Estado de Actividades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</si>
  <si>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</si>
  <si>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</si>
  <si>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</si>
  <si>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</si>
  <si>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</si>
  <si>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</si>
  <si>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</si>
  <si>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de la Gestión</t>
  </si>
  <si>
    <t xml:space="preserve">Cuotas y Aportaciones de Seguridad Social 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</si>
  <si>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</si>
  <si>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</si>
  <si>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</si>
  <si>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Transferencias, Asignaciones, Subsidios y Otras ayudas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</si>
  <si>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</si>
  <si>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</si>
  <si>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</si>
  <si>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</si>
  <si>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</si>
  <si>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</si>
  <si>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</si>
  <si>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</si>
  <si>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 Funcionamiento</t>
  </si>
  <si>
    <t xml:space="preserve">Servicios Personales  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</si>
  <si>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</si>
  <si>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</si>
  <si>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</si>
  <si>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</si>
  <si>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</si>
  <si>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</si>
  <si>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</si>
  <si>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</si>
  <si>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</si>
  <si>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</si>
  <si>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</si>
  <si>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</si>
  <si>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</si>
  <si>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</si>
  <si>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</si>
  <si>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</si>
  <si>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</si>
  <si>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</si>
  <si>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</si>
  <si>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</si>
  <si>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</si>
  <si>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</si>
  <si>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</si>
  <si>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</si>
  <si>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</si>
  <si>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</si>
  <si>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</si>
  <si>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</si>
  <si>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</si>
  <si>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</si>
  <si>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</si>
  <si>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</si>
  <si>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 xml:space="preserve"> ( D )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</si>
  <si>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</si>
  <si>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</si>
  <si>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</si>
  <si>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</si>
  <si>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</si>
  <si>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</si>
  <si>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</si>
  <si>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</si>
  <si>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</si>
  <si>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</si>
  <si>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</si>
  <si>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</si>
  <si>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</si>
  <si>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</si>
  <si>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</si>
  <si>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</si>
  <si>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</si>
  <si>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</si>
  <si>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</si>
  <si>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</si>
  <si>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</si>
  <si>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</si>
  <si>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</si>
  <si>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</si>
  <si>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</si>
  <si>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</si>
  <si>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</si>
  <si>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</si>
  <si>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</si>
  <si>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</si>
  <si>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</si>
  <si>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</si>
  <si>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</si>
  <si>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</si>
  <si>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</si>
  <si>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</si>
  <si>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</si>
  <si>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</si>
  <si>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</si>
  <si>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</si>
  <si>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</si>
  <si>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</si>
  <si>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</si>
  <si>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</si>
  <si>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</si>
  <si>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</si>
  <si>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</si>
  <si>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</si>
  <si>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</si>
  <si>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</si>
  <si>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</si>
  <si>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</si>
  <si>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</si>
  <si>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</si>
  <si>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</si>
  <si>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</si>
  <si>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</si>
  <si>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Estado de Situación Financiera</t>
  </si>
  <si>
    <t>Exceso o Insuficiencia en la Actualización de la Hacienda Pública/Patrimonio</t>
  </si>
  <si>
    <t>Origen</t>
  </si>
  <si>
    <t>Aplicación</t>
  </si>
  <si>
    <t>( M )</t>
  </si>
  <si>
    <t>( N )</t>
  </si>
  <si>
    <t>( O )</t>
  </si>
  <si>
    <t>( P )</t>
  </si>
  <si>
    <t>Estado de Cambios en la Situación Financiera</t>
  </si>
  <si>
    <t>SALDO ACUMULADO AL MES DE CIERRE, EJERCICIO ACTUAL (OCULTO)</t>
  </si>
  <si>
    <t>SALDO ACUMULADO FINAL  EJERCICIO ANTERIOR (OCULTO)</t>
  </si>
  <si>
    <t>(O)</t>
  </si>
  <si>
    <t>(P)</t>
  </si>
  <si>
    <t>ACTIVO.   SI    E - F   ES MAYOR QUE  0.00  ES APLICACIÓN,    SI  E - F  ES MENOR QUE   0.00 ES  ORIGEN</t>
  </si>
  <si>
    <t>PASIVO.   SI    M - N   ES MAYOR QUE  0.00  ES ORIGEN,    SI  M - N  ES MENOR QUE   0.00  ES  APLICACIÓN</t>
  </si>
  <si>
    <t>HACIENDA PÚBLICA/PATRIMONIO.   SI    M - N   ES MAYOR QUE  0.00  ES ORIGEN,    SI  M - N  ES MENOR QUE   0.00  ES  APLICACIÓN</t>
  </si>
  <si>
    <t xml:space="preserve">Bienes Muebles 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</si>
  <si>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</si>
  <si>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</si>
  <si>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</si>
  <si>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</si>
  <si>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</si>
  <si>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</si>
  <si>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</si>
  <si>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>Estado Analitico del Activo</t>
  </si>
  <si>
    <t xml:space="preserve">SALDO FINAL ACUMULADO AL CIERRE DEL MES  </t>
  </si>
  <si>
    <t xml:space="preserve">RESULTADO DE LA OPERACION 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</si>
  <si>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</si>
  <si>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</si>
  <si>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</si>
  <si>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</si>
  <si>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</si>
  <si>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</si>
  <si>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</si>
  <si>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</si>
  <si>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</si>
  <si>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</si>
  <si>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</si>
  <si>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</si>
  <si>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</si>
  <si>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</si>
  <si>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Denominación de las Deudas</t>
  </si>
  <si>
    <t>Moneda de Contratación</t>
  </si>
  <si>
    <t>Institución o País</t>
  </si>
  <si>
    <t>Acreedor</t>
  </si>
  <si>
    <t>Saldo Inicial del Período</t>
  </si>
  <si>
    <t>Saldo Final del Período</t>
  </si>
  <si>
    <t>Estado Analitico de la Deuda y Otros Pasivos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</si>
  <si>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</si>
  <si>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</si>
  <si>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</si>
  <si>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</si>
  <si>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</si>
  <si>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</si>
  <si>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2014</t>
  </si>
  <si>
    <t>Variaciones de la Hacienda Pública/Patrimonio Neto del Ejercicio 2014</t>
  </si>
  <si>
    <t>Hacienda Pública/Patrimonio Generado de Ejercicios Anteriores</t>
  </si>
  <si>
    <t>Hacienda Pública/Patrimonio Generado del Ejercicio</t>
  </si>
  <si>
    <t>Ajustes por Cambios de Valor</t>
  </si>
  <si>
    <t>Estado de Variación en la Hacienda Pública</t>
  </si>
  <si>
    <t>Flujos de Efectivo de las Actividades de Operación</t>
  </si>
  <si>
    <t>Cuotas y Aportaciones de Seguridad Social</t>
  </si>
  <si>
    <t>Contribuciones de mejoras</t>
  </si>
  <si>
    <t>Transferencias, Asignaciones y Subsidios y Otras ayudas</t>
  </si>
  <si>
    <t>Otros Origenes de Operación</t>
  </si>
  <si>
    <t>Servicios Personales</t>
  </si>
  <si>
    <t>Transferencias al resto del Sector Público</t>
  </si>
  <si>
    <t xml:space="preserve">Subsidios y Subvenciones </t>
  </si>
  <si>
    <t xml:space="preserve">Participaciones </t>
  </si>
  <si>
    <t>Otros Aplicaciones de Operación</t>
  </si>
  <si>
    <t>Flujos Netos de Efectivo por Actividades de Operación</t>
  </si>
  <si>
    <t xml:space="preserve">Flujos de Efectivo de las Actividades de Inversión 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</si>
  <si>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</si>
  <si>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</si>
  <si>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</si>
  <si>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</si>
  <si>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</si>
  <si>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</si>
  <si>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Disminución de Activos Financieros</t>
  </si>
  <si>
    <t xml:space="preserve">Incremento de Otros Pasivos </t>
  </si>
  <si>
    <t>Servicios de la Deuda</t>
  </si>
  <si>
    <t>Incremento de Activos Financieros</t>
  </si>
  <si>
    <t xml:space="preserve">Disminución de Otros Pasivos 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</si>
  <si>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</si>
  <si>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</si>
  <si>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</si>
  <si>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</si>
  <si>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flujos de Efectivo</t>
  </si>
  <si>
    <t xml:space="preserve">( E ) </t>
  </si>
  <si>
    <t>Otros Orígenes de Inversión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</si>
  <si>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</si>
  <si>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</si>
  <si>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</si>
  <si>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</si>
  <si>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</si>
  <si>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</si>
  <si>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</si>
  <si>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</si>
  <si>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</si>
  <si>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</si>
  <si>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</si>
  <si>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</si>
  <si>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</si>
  <si>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</si>
  <si>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</si>
  <si>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</si>
  <si>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</si>
  <si>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</si>
  <si>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</si>
  <si>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</si>
  <si>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</si>
  <si>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</si>
  <si>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</si>
  <si>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</si>
  <si>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</si>
  <si>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</si>
  <si>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</si>
  <si>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</si>
  <si>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</si>
  <si>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</si>
  <si>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</si>
  <si>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</si>
  <si>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</si>
  <si>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</si>
  <si>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</si>
  <si>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</si>
  <si>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</si>
  <si>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</si>
  <si>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</si>
  <si>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</si>
  <si>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</si>
  <si>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</si>
  <si>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</si>
  <si>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</si>
  <si>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</si>
  <si>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</si>
  <si>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</si>
  <si>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</si>
  <si>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</si>
  <si>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</si>
  <si>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</si>
  <si>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</si>
  <si>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</si>
  <si>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</si>
  <si>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</si>
  <si>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</si>
  <si>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</si>
  <si>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</si>
  <si>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</si>
  <si>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</si>
  <si>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</si>
  <si>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</si>
  <si>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</si>
  <si>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</si>
  <si>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</si>
  <si>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</si>
  <si>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</si>
  <si>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</si>
  <si>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</si>
  <si>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</si>
  <si>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</si>
  <si>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</si>
  <si>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</si>
  <si>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</si>
  <si>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</si>
  <si>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</si>
  <si>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</si>
  <si>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</si>
  <si>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</si>
  <si>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</si>
  <si>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</si>
  <si>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</si>
  <si>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</si>
  <si>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</si>
  <si>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</si>
  <si>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</si>
  <si>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</si>
  <si>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</si>
  <si>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</si>
  <si>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</si>
  <si>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</si>
  <si>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</si>
  <si>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</si>
  <si>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</si>
  <si>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</si>
  <si>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</si>
  <si>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</si>
  <si>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</si>
  <si>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</si>
  <si>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</si>
  <si>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</si>
  <si>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</si>
  <si>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</si>
  <si>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</si>
  <si>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</si>
  <si>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</si>
  <si>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</si>
  <si>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</si>
  <si>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</si>
  <si>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</si>
  <si>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</si>
  <si>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</si>
  <si>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</si>
  <si>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</si>
  <si>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</si>
  <si>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</si>
  <si>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</si>
  <si>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</si>
  <si>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</si>
  <si>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</si>
  <si>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</si>
  <si>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</si>
  <si>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</si>
  <si>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</si>
  <si>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</si>
  <si>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</si>
  <si>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</si>
  <si>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</si>
  <si>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</si>
  <si>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</si>
  <si>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</si>
  <si>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</si>
  <si>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</si>
  <si>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</si>
  <si>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</si>
  <si>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</si>
  <si>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</si>
  <si>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</si>
  <si>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</si>
  <si>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</si>
  <si>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</si>
  <si>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</si>
  <si>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</si>
  <si>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</si>
  <si>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</si>
  <si>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</si>
  <si>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</si>
  <si>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</si>
  <si>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</si>
  <si>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</si>
  <si>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</si>
  <si>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</si>
  <si>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</si>
  <si>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</si>
  <si>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</si>
  <si>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</si>
  <si>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PATRIMONIO</t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</si>
  <si>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</si>
  <si>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</si>
  <si>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</si>
  <si>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</si>
  <si>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</si>
  <si>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</si>
  <si>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</si>
  <si>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</si>
  <si>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</si>
  <si>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</si>
  <si>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</si>
  <si>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</si>
  <si>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</si>
  <si>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</si>
  <si>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</si>
  <si>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</si>
  <si>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</si>
  <si>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</si>
  <si>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</si>
  <si>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</si>
  <si>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</si>
  <si>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</si>
  <si>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</si>
  <si>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</si>
  <si>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</si>
  <si>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</si>
  <si>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</si>
  <si>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</si>
  <si>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</si>
  <si>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</si>
  <si>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</si>
  <si>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</si>
  <si>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</si>
  <si>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</si>
  <si>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</si>
  <si>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</si>
  <si>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</si>
  <si>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</si>
  <si>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</si>
  <si>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</si>
  <si>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</si>
  <si>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</si>
  <si>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</si>
  <si>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</si>
  <si>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</si>
  <si>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</si>
  <si>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</si>
  <si>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</si>
  <si>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</si>
  <si>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</si>
  <si>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</si>
  <si>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</si>
  <si>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</si>
  <si>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</si>
  <si>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</si>
  <si>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</si>
  <si>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</si>
  <si>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</si>
  <si>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</si>
  <si>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</si>
  <si>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</si>
  <si>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</si>
  <si>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</si>
  <si>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</si>
  <si>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</si>
  <si>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</si>
  <si>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</si>
  <si>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</si>
  <si>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</si>
  <si>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</si>
  <si>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</si>
  <si>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</si>
  <si>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</si>
  <si>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</si>
  <si>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</si>
  <si>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</si>
  <si>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</si>
  <si>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</si>
  <si>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</si>
  <si>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</si>
  <si>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</si>
  <si>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</si>
  <si>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</si>
  <si>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</si>
  <si>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</si>
  <si>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</si>
  <si>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</si>
  <si>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</si>
  <si>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</si>
  <si>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</si>
  <si>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</si>
  <si>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</si>
  <si>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</si>
  <si>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</si>
  <si>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</si>
  <si>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</si>
  <si>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</si>
  <si>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</si>
  <si>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</si>
  <si>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</si>
  <si>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</si>
  <si>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</si>
  <si>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</si>
  <si>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</si>
  <si>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</si>
  <si>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</si>
  <si>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</si>
  <si>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</si>
  <si>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</si>
  <si>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</si>
  <si>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</si>
  <si>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</si>
  <si>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</si>
  <si>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</si>
  <si>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</si>
  <si>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</si>
  <si>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</si>
  <si>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</si>
  <si>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</si>
  <si>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</si>
  <si>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</si>
  <si>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</si>
  <si>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</si>
  <si>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</si>
  <si>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</si>
  <si>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</si>
  <si>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</si>
  <si>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</si>
  <si>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</si>
  <si>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</si>
  <si>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</si>
  <si>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</si>
  <si>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</si>
  <si>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</si>
  <si>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</si>
  <si>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</si>
  <si>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</si>
  <si>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</si>
  <si>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</si>
  <si>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</si>
  <si>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</si>
  <si>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</si>
  <si>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</si>
  <si>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</si>
  <si>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</si>
  <si>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</si>
  <si>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</si>
  <si>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</si>
  <si>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</si>
  <si>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</si>
  <si>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</si>
  <si>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</si>
  <si>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</si>
  <si>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</si>
  <si>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</si>
  <si>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</si>
  <si>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</si>
  <si>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</si>
  <si>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</si>
  <si>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</si>
  <si>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</si>
  <si>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</si>
  <si>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</si>
  <si>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</si>
  <si>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</si>
  <si>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</si>
  <si>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</si>
  <si>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</si>
  <si>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</si>
  <si>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</si>
  <si>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</si>
  <si>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</si>
  <si>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</si>
  <si>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</si>
  <si>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</si>
  <si>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</si>
  <si>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</si>
  <si>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</si>
  <si>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</si>
  <si>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</si>
  <si>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</si>
  <si>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</si>
  <si>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</si>
  <si>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</si>
  <si>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</si>
  <si>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</si>
  <si>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</si>
  <si>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</si>
  <si>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</si>
  <si>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</si>
  <si>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</si>
  <si>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</si>
  <si>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</si>
  <si>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</si>
  <si>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</si>
  <si>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</si>
  <si>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</si>
  <si>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</si>
  <si>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</si>
  <si>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</si>
  <si>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</si>
  <si>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</si>
  <si>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</si>
  <si>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</si>
  <si>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</si>
  <si>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</si>
  <si>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</si>
  <si>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</si>
  <si>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</si>
  <si>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</si>
  <si>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</si>
  <si>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</si>
  <si>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</si>
  <si>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</si>
  <si>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</si>
  <si>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</si>
  <si>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</si>
  <si>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</si>
  <si>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</si>
  <si>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</si>
  <si>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</si>
  <si>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</si>
  <si>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</si>
  <si>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</si>
  <si>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</si>
  <si>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</si>
  <si>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</si>
  <si>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</si>
  <si>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</si>
  <si>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</si>
  <si>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</si>
  <si>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</si>
  <si>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</si>
  <si>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</si>
  <si>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</si>
  <si>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</si>
  <si>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</si>
  <si>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</si>
  <si>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</si>
  <si>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</si>
  <si>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</si>
  <si>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</si>
  <si>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</si>
  <si>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</si>
  <si>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</si>
  <si>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</si>
  <si>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</si>
  <si>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</si>
  <si>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</si>
  <si>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</si>
  <si>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</si>
  <si>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</si>
  <si>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</si>
  <si>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</si>
  <si>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</si>
  <si>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</si>
  <si>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</si>
  <si>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</si>
  <si>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</si>
  <si>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</si>
  <si>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</si>
  <si>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</si>
  <si>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</si>
  <si>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</si>
  <si>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</si>
  <si>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</si>
  <si>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</si>
  <si>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</si>
  <si>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</si>
  <si>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</si>
  <si>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</si>
  <si>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</si>
  <si>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</si>
  <si>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</si>
  <si>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</si>
  <si>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</si>
  <si>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</si>
  <si>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</si>
  <si>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</si>
  <si>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</si>
  <si>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</si>
  <si>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</si>
  <si>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</si>
  <si>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</si>
  <si>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</si>
  <si>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</si>
  <si>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</si>
  <si>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</si>
  <si>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</si>
  <si>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</si>
  <si>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</si>
  <si>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</si>
  <si>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</si>
  <si>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</si>
  <si>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</si>
  <si>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</si>
  <si>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</si>
  <si>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</si>
  <si>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</si>
  <si>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</si>
  <si>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</si>
  <si>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</si>
  <si>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</si>
  <si>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</si>
  <si>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</si>
  <si>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</si>
  <si>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</si>
  <si>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</si>
  <si>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</si>
  <si>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</si>
  <si>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</si>
  <si>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</si>
  <si>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</si>
  <si>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</si>
  <si>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</si>
  <si>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</si>
  <si>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</si>
  <si>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</si>
  <si>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</si>
  <si>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</si>
  <si>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</si>
  <si>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</si>
  <si>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</si>
  <si>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</si>
  <si>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</si>
  <si>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</si>
  <si>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</si>
  <si>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</si>
  <si>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</si>
  <si>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</si>
  <si>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</si>
  <si>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</si>
  <si>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</si>
  <si>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</si>
  <si>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</si>
  <si>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</si>
  <si>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</si>
  <si>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</si>
  <si>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</si>
  <si>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</si>
  <si>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</si>
  <si>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</si>
  <si>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</si>
  <si>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</si>
  <si>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</si>
  <si>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</si>
  <si>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Saldo Anterior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</si>
  <si>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</si>
  <si>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</si>
  <si>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</si>
  <si>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</si>
  <si>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</si>
  <si>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</si>
  <si>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</si>
  <si>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</si>
  <si>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</si>
  <si>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</si>
  <si>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</si>
  <si>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</si>
  <si>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</si>
  <si>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</si>
  <si>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</si>
  <si>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</si>
  <si>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</si>
  <si>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</si>
  <si>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</si>
  <si>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</si>
  <si>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</si>
  <si>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</si>
  <si>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</si>
  <si>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</si>
  <si>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</si>
  <si>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</si>
  <si>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</si>
  <si>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</si>
  <si>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</si>
  <si>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</si>
  <si>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</si>
  <si>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</si>
  <si>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</si>
  <si>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</si>
  <si>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</si>
  <si>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</si>
  <si>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</si>
  <si>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</si>
  <si>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</si>
  <si>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</si>
  <si>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</si>
  <si>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</si>
  <si>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</si>
  <si>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</si>
  <si>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</si>
  <si>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</si>
  <si>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</si>
  <si>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</si>
  <si>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</si>
  <si>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</si>
  <si>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</si>
  <si>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</si>
  <si>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</si>
  <si>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</si>
  <si>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</si>
  <si>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</si>
  <si>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</si>
  <si>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</si>
  <si>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</si>
  <si>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</si>
  <si>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</si>
  <si>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</si>
  <si>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</si>
  <si>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</si>
  <si>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</si>
  <si>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</si>
  <si>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</si>
  <si>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</si>
  <si>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</si>
  <si>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</si>
  <si>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</si>
  <si>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</si>
  <si>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</si>
  <si>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</si>
  <si>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</si>
  <si>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</si>
  <si>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</si>
  <si>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</si>
  <si>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</si>
  <si>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</si>
  <si>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</si>
  <si>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</si>
  <si>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</si>
  <si>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</si>
  <si>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</si>
  <si>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</si>
  <si>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</si>
  <si>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</si>
  <si>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</si>
  <si>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</si>
  <si>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</si>
  <si>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</si>
  <si>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</si>
  <si>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Dr. Alfredo Cuecuecha Mendoza</t>
  </si>
  <si>
    <t>Presidente de la Junta de Gobierno</t>
  </si>
  <si>
    <t>Bancomer 0193590275 Convenio Turismo 2</t>
  </si>
  <si>
    <t>Bancomer 0194221559 CECS A</t>
  </si>
  <si>
    <t>2% SOBRE NOMINAS</t>
  </si>
  <si>
    <t>Bancomer 0197235682 C y C INADEM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</si>
  <si>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</si>
  <si>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</si>
  <si>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</si>
  <si>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</si>
  <si>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</si>
  <si>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</si>
  <si>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</si>
  <si>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</si>
  <si>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</si>
  <si>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</si>
  <si>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</si>
  <si>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</si>
  <si>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</si>
  <si>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</si>
  <si>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</si>
  <si>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Productos</t>
  </si>
  <si>
    <t>Corriente</t>
  </si>
  <si>
    <t>Capital</t>
  </si>
  <si>
    <t>Aprovechamientos</t>
  </si>
  <si>
    <t>Ingresos por Ventas de Bienes y Servicios</t>
  </si>
  <si>
    <t>Ingresos Derivados de Financiamientos</t>
  </si>
  <si>
    <t>Total</t>
  </si>
  <si>
    <t>Ingresos excedentes¹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</si>
  <si>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</si>
  <si>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</si>
  <si>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</si>
  <si>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</si>
  <si>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</si>
  <si>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</si>
  <si>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</si>
  <si>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</si>
  <si>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</si>
  <si>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</si>
  <si>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</si>
  <si>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</si>
  <si>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</si>
  <si>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</si>
  <si>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</si>
  <si>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Poder Ejecutivo / Legislativo / Judicial / Autónomo / Sector Paraestatal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</si>
  <si>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</si>
  <si>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</si>
  <si>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</si>
  <si>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</si>
  <si>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</si>
  <si>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Previsiones</t>
  </si>
  <si>
    <t>Materiales y Suministros Para Seguridad</t>
  </si>
  <si>
    <t>Servicios Profesionales, Científicos, Técnicos y Otros Servicios</t>
  </si>
  <si>
    <t>Servicios de Comunicación Social y Publicidad.</t>
  </si>
  <si>
    <t>Transferencias a Fideicomisos, Mandatos y Otros Análogos</t>
  </si>
  <si>
    <t>Bienes Muebles, Inmuebles e Intangibles</t>
  </si>
  <si>
    <t>Vehículos y Equipo de Transporte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</si>
  <si>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</si>
  <si>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</si>
  <si>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</si>
  <si>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</si>
  <si>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</si>
  <si>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</si>
  <si>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</si>
  <si>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</si>
  <si>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</si>
  <si>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</si>
  <si>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</si>
  <si>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</si>
  <si>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</si>
  <si>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</si>
  <si>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</si>
  <si>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</si>
  <si>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</si>
  <si>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</si>
  <si>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</si>
  <si>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</si>
  <si>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</si>
  <si>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</si>
  <si>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</si>
  <si>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</si>
  <si>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</si>
  <si>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</si>
  <si>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</si>
  <si>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</si>
  <si>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</si>
  <si>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</si>
  <si>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</si>
  <si>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</si>
  <si>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</si>
  <si>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</si>
  <si>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</si>
  <si>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</si>
  <si>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</si>
  <si>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</si>
  <si>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</si>
  <si>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</si>
  <si>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</si>
  <si>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</si>
  <si>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</si>
  <si>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</si>
  <si>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</si>
  <si>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</si>
  <si>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</si>
  <si>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</si>
  <si>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</si>
  <si>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</si>
  <si>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</si>
  <si>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</si>
  <si>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</si>
  <si>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</si>
  <si>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</si>
  <si>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</si>
  <si>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</si>
  <si>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</si>
  <si>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</si>
  <si>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</si>
  <si>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</si>
  <si>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</si>
  <si>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</si>
  <si>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</si>
  <si>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</si>
  <si>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</si>
  <si>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</si>
  <si>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</si>
  <si>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</si>
  <si>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</si>
  <si>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</si>
  <si>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</si>
  <si>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</si>
  <si>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</si>
  <si>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</si>
  <si>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</si>
  <si>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</si>
  <si>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</si>
  <si>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</si>
  <si>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</si>
  <si>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</si>
  <si>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</si>
  <si>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</si>
  <si>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</si>
  <si>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</si>
  <si>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</si>
  <si>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</si>
  <si>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</si>
  <si>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</si>
  <si>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</si>
  <si>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</si>
  <si>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</si>
  <si>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</si>
  <si>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</si>
  <si>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</si>
  <si>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</si>
  <si>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</si>
  <si>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</si>
  <si>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</si>
  <si>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</si>
  <si>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</si>
  <si>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</si>
  <si>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</si>
  <si>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</si>
  <si>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</si>
  <si>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</si>
  <si>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</si>
  <si>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</si>
  <si>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</si>
  <si>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</si>
  <si>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</si>
  <si>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(Pesos)</t>
  </si>
  <si>
    <t>Ente Público: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</si>
  <si>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</si>
  <si>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</si>
  <si>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</si>
  <si>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</si>
  <si>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</si>
  <si>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</si>
  <si>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</si>
  <si>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</si>
  <si>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</si>
  <si>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</si>
  <si>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Ramos Montalvo Vargas</t>
  </si>
  <si>
    <t>Bancomer CAPACITACION Y CONSULTORIA INADEM</t>
  </si>
  <si>
    <t>Ingreso por Venta de Activo</t>
  </si>
  <si>
    <t>EL COLEGIO DE TLAXCALA, A.C.</t>
  </si>
  <si>
    <t>BANCOMER</t>
  </si>
  <si>
    <t>BANORTE</t>
  </si>
  <si>
    <t>Subsidio Gubernamental</t>
  </si>
  <si>
    <t>Ingresos Propios</t>
  </si>
  <si>
    <t>Moneda Extranjera</t>
  </si>
  <si>
    <t>23 Fomix</t>
  </si>
  <si>
    <t>COLTLAX ADM 00001</t>
  </si>
  <si>
    <t>COLTLAX ADM 00002</t>
  </si>
  <si>
    <t>COLTLAX ADM 00003</t>
  </si>
  <si>
    <t>COLTLAX ADM 00004</t>
  </si>
  <si>
    <t>COLTLAX ADM 00005</t>
  </si>
  <si>
    <t>COLTLAX ADM 00006</t>
  </si>
  <si>
    <t>COLTLAX ADM 00007</t>
  </si>
  <si>
    <t>COLTLAX ADM 00008</t>
  </si>
  <si>
    <t>COLTLAX ADM 00009</t>
  </si>
  <si>
    <t>COLTLAX ADM 00010</t>
  </si>
  <si>
    <t>COLTLAX ADM 00011</t>
  </si>
  <si>
    <t>COLTLAX ADM 00012</t>
  </si>
  <si>
    <t>COLTLAX ADM 00013</t>
  </si>
  <si>
    <t>COLTLAX ADM 00014</t>
  </si>
  <si>
    <t>COLTLAX ADM 00015</t>
  </si>
  <si>
    <t>COLTLAX ADM 00016</t>
  </si>
  <si>
    <t>COLTLAX ADM 00017</t>
  </si>
  <si>
    <t>COLTLAX ADM 00018</t>
  </si>
  <si>
    <t>COLTLAX ADM 00019</t>
  </si>
  <si>
    <t>COLTLAX ADM 00020</t>
  </si>
  <si>
    <t>COLTLAX ADM 00021</t>
  </si>
  <si>
    <t>COLTLAX ADM 00022</t>
  </si>
  <si>
    <t>COLTLAX ADM 00023</t>
  </si>
  <si>
    <t>COLTLAX ADM 00024</t>
  </si>
  <si>
    <t>COLTLAX ADM 00025</t>
  </si>
  <si>
    <t>COLTLAX ADM 00026</t>
  </si>
  <si>
    <t>COLTLAX ADM 00027</t>
  </si>
  <si>
    <t>COLTLAX ADM 00028</t>
  </si>
  <si>
    <t>COLTLAX ADM 00029</t>
  </si>
  <si>
    <t>COLTLAX ADM 00030</t>
  </si>
  <si>
    <t>COLTLAX ADM 00031</t>
  </si>
  <si>
    <t>COLTLAX ADM 00032</t>
  </si>
  <si>
    <t>COLTLAX ADM 00033</t>
  </si>
  <si>
    <t>COLTLAX ADM 00034</t>
  </si>
  <si>
    <t>COLTLAX ADM 00035</t>
  </si>
  <si>
    <t>COLTLAX ADM 00036</t>
  </si>
  <si>
    <t>COLTLAX ADM 00037</t>
  </si>
  <si>
    <t>COLTLAX ADM 00038</t>
  </si>
  <si>
    <t>COLTLAX ADM 00039</t>
  </si>
  <si>
    <t>COLTLAX ADM 00040</t>
  </si>
  <si>
    <t>COLTLAX ADM 00041</t>
  </si>
  <si>
    <t>COLTLAX ADM 00042</t>
  </si>
  <si>
    <t>COLTLAX ADM 00043</t>
  </si>
  <si>
    <t>COLTLAX ADM 00044</t>
  </si>
  <si>
    <t>COLTLAX ADM 00045</t>
  </si>
  <si>
    <t>COLTLAX ADM 00046</t>
  </si>
  <si>
    <t>COLTLAX ADM 00047</t>
  </si>
  <si>
    <t>COLTLAX ADM 00048</t>
  </si>
  <si>
    <t>COLTLAX ADM 00049</t>
  </si>
  <si>
    <t>COLTLAX ADM 00050</t>
  </si>
  <si>
    <t>COLTLAX ADM 00051</t>
  </si>
  <si>
    <t>COLTLAX ADM 00052</t>
  </si>
  <si>
    <t>COLTLAX ADM 00053</t>
  </si>
  <si>
    <t>COLTLAX ADM 00054</t>
  </si>
  <si>
    <t>COLTLAX ADM 00055</t>
  </si>
  <si>
    <t>COLTLAX ADM 00056</t>
  </si>
  <si>
    <t>COLTLAX ADM 00057</t>
  </si>
  <si>
    <t>COLTLAX ADM 00058</t>
  </si>
  <si>
    <t>COLTLAX ADM 00059</t>
  </si>
  <si>
    <t>COLTLAX ADM 00060</t>
  </si>
  <si>
    <t>COLTLAX ADM 00061</t>
  </si>
  <si>
    <t>COLTLAX ADM 00062</t>
  </si>
  <si>
    <t>COLTLAX ADM 00063</t>
  </si>
  <si>
    <t>COLTLAX ADM 00064</t>
  </si>
  <si>
    <t>COLTLAX ADM 00065</t>
  </si>
  <si>
    <t>COLTLAX ADM 00066</t>
  </si>
  <si>
    <t>COLTLAX ADM 00067</t>
  </si>
  <si>
    <t>COLTLAX ADM 00068</t>
  </si>
  <si>
    <t>COLTLAX ADM 00069</t>
  </si>
  <si>
    <t>COLTLAX ADM 00070</t>
  </si>
  <si>
    <t>COLTLAX ADM 00071</t>
  </si>
  <si>
    <t>COLTLAX ADM 00072</t>
  </si>
  <si>
    <t>COLTLAX ADM 00073</t>
  </si>
  <si>
    <t>COLTLAX ADM 00074</t>
  </si>
  <si>
    <t>COLTLAX ADM 00075</t>
  </si>
  <si>
    <t>COLTLAX ADM 00076</t>
  </si>
  <si>
    <t>COLTLAX ADM 00077</t>
  </si>
  <si>
    <t>COLTLAX ADM 00078</t>
  </si>
  <si>
    <t>COLTLAX ADM 00079</t>
  </si>
  <si>
    <t>COLTLAX ADM 00080</t>
  </si>
  <si>
    <t>COLTLAX ADM 00081</t>
  </si>
  <si>
    <t>COLTLAX ADM 00082</t>
  </si>
  <si>
    <t>COLTLAX ADM 00083</t>
  </si>
  <si>
    <t>COLTLAX ADM 00084</t>
  </si>
  <si>
    <t>COLTLAX ADM 00085</t>
  </si>
  <si>
    <t>COLTLAX ADM 00086</t>
  </si>
  <si>
    <t>ColTlax Inm 001</t>
  </si>
  <si>
    <t>ColTlax Inm 002</t>
  </si>
  <si>
    <t>ColTlax Inm 003</t>
  </si>
  <si>
    <t>Cuenta Pública 2015</t>
  </si>
  <si>
    <t>Clasificación por Objeto del Gasto (Capítulo y Concepto)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</si>
  <si>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</si>
  <si>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</si>
  <si>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</si>
  <si>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</si>
  <si>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</si>
  <si>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</si>
  <si>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</si>
  <si>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</si>
  <si>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</si>
  <si>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</si>
  <si>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DEFEPI SPyF</t>
  </si>
  <si>
    <t>Evaluaciones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</si>
  <si>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</si>
  <si>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</si>
  <si>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</si>
  <si>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</si>
  <si>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</si>
  <si>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</si>
  <si>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</si>
  <si>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</si>
  <si>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</si>
  <si>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</si>
  <si>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</si>
  <si>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</si>
  <si>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</si>
  <si>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</si>
  <si>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</si>
  <si>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</si>
  <si>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</si>
  <si>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</si>
  <si>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</si>
  <si>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</si>
  <si>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</si>
  <si>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</si>
  <si>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</si>
  <si>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</si>
  <si>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</si>
  <si>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</si>
  <si>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</si>
  <si>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</si>
  <si>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</si>
  <si>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</si>
  <si>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</si>
  <si>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</si>
  <si>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</si>
  <si>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</si>
  <si>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</si>
  <si>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</si>
  <si>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</si>
  <si>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</si>
  <si>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</si>
  <si>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</si>
  <si>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</si>
  <si>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</si>
  <si>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</si>
  <si>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</si>
  <si>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</si>
  <si>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</si>
  <si>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</si>
  <si>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</si>
  <si>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</si>
  <si>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</si>
  <si>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</si>
  <si>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</si>
  <si>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</si>
  <si>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</si>
  <si>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</si>
  <si>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</si>
  <si>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</si>
  <si>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</si>
  <si>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</si>
  <si>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</si>
  <si>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</si>
  <si>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</si>
  <si>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</si>
  <si>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</si>
  <si>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</si>
  <si>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</si>
  <si>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</si>
  <si>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</si>
  <si>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</si>
  <si>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</si>
  <si>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</si>
  <si>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</si>
  <si>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</si>
  <si>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</si>
  <si>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</si>
  <si>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</si>
  <si>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</si>
  <si>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</si>
  <si>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</si>
  <si>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</si>
  <si>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</si>
  <si>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</si>
  <si>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</si>
  <si>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</si>
  <si>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</si>
  <si>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</si>
  <si>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</si>
  <si>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</si>
  <si>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</si>
  <si>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</si>
  <si>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</si>
  <si>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</si>
  <si>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</si>
  <si>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</si>
  <si>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</si>
  <si>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</si>
  <si>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</si>
  <si>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</si>
  <si>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</si>
  <si>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</si>
  <si>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</si>
  <si>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</si>
  <si>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</si>
  <si>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</si>
  <si>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</si>
  <si>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</si>
  <si>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</si>
  <si>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</si>
  <si>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</si>
  <si>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C.P. José Santiago Ortega Vega</t>
  </si>
  <si>
    <t>Director Administrativo</t>
  </si>
  <si>
    <t>Del 1° de Enero al 31 de marzo de 2016 y 2015</t>
  </si>
  <si>
    <t>Del 1 de enero al 31 de marzo de 2016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</si>
  <si>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</si>
  <si>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</si>
  <si>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</si>
  <si>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</si>
  <si>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</si>
  <si>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</si>
  <si>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</si>
  <si>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</si>
  <si>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</si>
  <si>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ip</t>
  </si>
  <si>
    <t>inversion</t>
  </si>
  <si>
    <t>secoduvi</t>
  </si>
  <si>
    <t>convenios secoduvi</t>
  </si>
  <si>
    <t>Hacienda Pública/Patrimonio Neto Final del Ejercicio 2015</t>
  </si>
  <si>
    <t>Saldo Neto en la Hacienda Pública / Patrimonio 2016</t>
  </si>
  <si>
    <t>Inversión</t>
  </si>
  <si>
    <t>Problemas Nacionales</t>
  </si>
  <si>
    <t>Convenios SECODUVI</t>
  </si>
  <si>
    <t>Cuenta Pública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</si>
</sst>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_ ;\-#,##0\ "/>
    <numFmt numFmtId="165" formatCode="General_)"/>
    <numFmt numFmtId="166" formatCode="0_ ;\-0\ "/>
    <numFmt numFmtId="167" formatCode="_-* #,##0_-;\-* #,##0_-;_-* &quot;-&quot;??_-;_-@_-"/>
    <numFmt numFmtId="168" formatCode="#,##0.00_ ;\-#,##0.00\ 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0" tint="-0.499984740745262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sz val="12"/>
      <color theme="0"/>
      <name val="Arial"/>
      <family val="2"/>
    </font>
    <font>
      <sz val="8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theme="0" tint="-0.49998474074526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165" fontId="24" fillId="0" borderId="0"/>
    <xf numFmtId="0" fontId="35" fillId="0" borderId="0"/>
    <xf numFmtId="0" fontId="38" fillId="0" borderId="0" applyNumberFormat="0" applyFill="0" applyBorder="0" applyAlignment="0" applyProtection="0"/>
    <xf numFmtId="0" fontId="1" fillId="0" borderId="0"/>
    <xf numFmtId="43" fontId="4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745">
    <xf numFmtId="0" fontId="0" fillId="0" borderId="0" xfId="0"/>
    <xf numFmtId="0" fontId="18" fillId="0" borderId="0" xfId="0" applyFont="1"/>
    <xf numFmtId="0" fontId="23" fillId="0" borderId="0" xfId="0" applyFont="1" applyFill="1" applyAlignment="1">
      <alignment wrapText="1"/>
    </xf>
    <xf numFmtId="0" fontId="18" fillId="0" borderId="0" xfId="0" applyFont="1" applyFill="1"/>
    <xf numFmtId="0" fontId="18" fillId="0" borderId="0" xfId="0" applyFont="1"/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4" fontId="18" fillId="0" borderId="0" xfId="0" applyNumberFormat="1" applyFont="1"/>
    <xf numFmtId="0" fontId="19" fillId="0" borderId="0" xfId="0" applyFont="1" applyAlignment="1">
      <alignment horizontal="left"/>
    </xf>
    <xf numFmtId="4" fontId="25" fillId="0" borderId="0" xfId="0" applyNumberFormat="1" applyFont="1"/>
    <xf numFmtId="0" fontId="18" fillId="0" borderId="0" xfId="0" applyFont="1"/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3" fontId="27" fillId="33" borderId="0" xfId="0" applyNumberFormat="1" applyFont="1" applyFill="1" applyBorder="1" applyAlignment="1">
      <alignment vertical="top"/>
    </xf>
    <xf numFmtId="3" fontId="26" fillId="33" borderId="0" xfId="0" applyNumberFormat="1" applyFont="1" applyFill="1" applyBorder="1" applyAlignment="1" applyProtection="1">
      <alignment vertical="top"/>
    </xf>
    <xf numFmtId="3" fontId="27" fillId="33" borderId="0" xfId="45" applyNumberFormat="1" applyFont="1" applyFill="1" applyBorder="1" applyAlignment="1" applyProtection="1">
      <alignment vertical="top"/>
      <protection locked="0"/>
    </xf>
    <xf numFmtId="0" fontId="27" fillId="33" borderId="0" xfId="0" applyFont="1" applyFill="1" applyBorder="1" applyAlignment="1">
      <alignment vertical="top"/>
    </xf>
    <xf numFmtId="3" fontId="28" fillId="33" borderId="0" xfId="0" applyNumberFormat="1" applyFont="1" applyFill="1" applyBorder="1" applyAlignment="1">
      <alignment vertical="top"/>
    </xf>
    <xf numFmtId="3" fontId="27" fillId="33" borderId="0" xfId="0" applyNumberFormat="1" applyFont="1" applyFill="1" applyBorder="1" applyAlignment="1" applyProtection="1">
      <alignment vertical="top"/>
      <protection locked="0"/>
    </xf>
    <xf numFmtId="3" fontId="29" fillId="33" borderId="0" xfId="0" applyNumberFormat="1" applyFont="1" applyFill="1" applyBorder="1" applyAlignment="1" applyProtection="1">
      <alignment vertical="top"/>
    </xf>
    <xf numFmtId="3" fontId="26" fillId="33" borderId="0" xfId="45" applyNumberFormat="1" applyFont="1" applyFill="1" applyBorder="1" applyAlignment="1" applyProtection="1">
      <alignment vertical="top"/>
    </xf>
    <xf numFmtId="3" fontId="29" fillId="33" borderId="0" xfId="45" applyNumberFormat="1" applyFont="1" applyFill="1" applyBorder="1" applyAlignment="1" applyProtection="1">
      <alignment vertical="top"/>
    </xf>
    <xf numFmtId="3" fontId="27" fillId="33" borderId="0" xfId="0" applyNumberFormat="1" applyFont="1" applyFill="1" applyBorder="1" applyAlignment="1">
      <alignment horizontal="center" vertical="top"/>
    </xf>
    <xf numFmtId="3" fontId="26" fillId="33" borderId="0" xfId="0" applyNumberFormat="1" applyFont="1" applyFill="1" applyBorder="1" applyAlignment="1" applyProtection="1">
      <alignment horizontal="center" vertical="top"/>
    </xf>
    <xf numFmtId="4" fontId="18" fillId="0" borderId="0" xfId="0" applyNumberFormat="1" applyFont="1" applyAlignment="1">
      <alignment horizontal="center"/>
    </xf>
    <xf numFmtId="164" fontId="27" fillId="33" borderId="0" xfId="45" applyNumberFormat="1" applyFont="1" applyFill="1" applyBorder="1" applyAlignment="1" applyProtection="1">
      <alignment vertical="top"/>
    </xf>
    <xf numFmtId="0" fontId="27" fillId="33" borderId="0" xfId="0" applyFont="1" applyFill="1" applyBorder="1" applyAlignment="1" applyProtection="1">
      <alignment vertical="top"/>
    </xf>
    <xf numFmtId="0" fontId="30" fillId="33" borderId="0" xfId="0" applyFont="1" applyFill="1" applyBorder="1" applyAlignment="1" applyProtection="1">
      <alignment horizontal="right" vertical="top"/>
    </xf>
    <xf numFmtId="0" fontId="26" fillId="33" borderId="0" xfId="0" applyFont="1" applyFill="1" applyBorder="1" applyAlignment="1" applyProtection="1">
      <alignment vertical="top"/>
    </xf>
    <xf numFmtId="0" fontId="26" fillId="33" borderId="0" xfId="0" applyFont="1" applyFill="1" applyBorder="1" applyAlignment="1" applyProtection="1">
      <alignment vertical="top" wrapText="1"/>
    </xf>
    <xf numFmtId="3" fontId="27" fillId="33" borderId="0" xfId="0" applyNumberFormat="1" applyFont="1" applyFill="1" applyBorder="1" applyAlignment="1" applyProtection="1">
      <alignment vertical="top"/>
    </xf>
    <xf numFmtId="0" fontId="29" fillId="33" borderId="0" xfId="0" applyFont="1" applyFill="1" applyBorder="1" applyAlignment="1" applyProtection="1">
      <alignment vertical="top" wrapText="1"/>
    </xf>
    <xf numFmtId="0" fontId="29" fillId="33" borderId="0" xfId="0" applyFont="1" applyFill="1" applyBorder="1" applyAlignment="1" applyProtection="1">
      <alignment vertical="top"/>
    </xf>
    <xf numFmtId="0" fontId="27" fillId="33" borderId="0" xfId="0" applyFont="1" applyFill="1" applyBorder="1" applyAlignment="1" applyProtection="1">
      <alignment vertical="top" wrapText="1"/>
    </xf>
    <xf numFmtId="3" fontId="27" fillId="33" borderId="0" xfId="45" applyNumberFormat="1" applyFont="1" applyFill="1" applyBorder="1" applyAlignment="1" applyProtection="1">
      <alignment vertical="top"/>
    </xf>
    <xf numFmtId="0" fontId="31" fillId="33" borderId="0" xfId="0" applyFont="1" applyFill="1" applyBorder="1" applyAlignment="1" applyProtection="1">
      <alignment horizontal="right" vertical="top"/>
    </xf>
    <xf numFmtId="0" fontId="30" fillId="33" borderId="0" xfId="0" applyFont="1" applyFill="1" applyBorder="1" applyAlignment="1" applyProtection="1">
      <alignment vertical="top" wrapText="1"/>
    </xf>
    <xf numFmtId="0" fontId="32" fillId="33" borderId="0" xfId="0" applyFont="1" applyFill="1" applyBorder="1" applyAlignment="1" applyProtection="1">
      <alignment vertical="center" wrapText="1"/>
    </xf>
    <xf numFmtId="3" fontId="28" fillId="33" borderId="0" xfId="45" applyNumberFormat="1" applyFont="1" applyFill="1" applyBorder="1" applyAlignment="1" applyProtection="1">
      <alignment vertical="top"/>
    </xf>
    <xf numFmtId="0" fontId="27" fillId="33" borderId="0" xfId="0" applyFont="1" applyFill="1" applyBorder="1" applyProtection="1"/>
    <xf numFmtId="43" fontId="27" fillId="33" borderId="0" xfId="45" applyFont="1" applyFill="1" applyBorder="1" applyProtection="1"/>
    <xf numFmtId="0" fontId="27" fillId="33" borderId="0" xfId="0" applyFont="1" applyFill="1" applyBorder="1" applyAlignment="1" applyProtection="1">
      <alignment vertical="center"/>
    </xf>
    <xf numFmtId="0" fontId="30" fillId="33" borderId="0" xfId="0" applyFont="1" applyFill="1" applyProtection="1"/>
    <xf numFmtId="0" fontId="27" fillId="33" borderId="0" xfId="0" applyFont="1" applyFill="1" applyBorder="1" applyAlignment="1" applyProtection="1">
      <alignment wrapText="1"/>
    </xf>
    <xf numFmtId="43" fontId="27" fillId="33" borderId="0" xfId="45" applyFont="1" applyFill="1" applyBorder="1" applyAlignment="1" applyProtection="1">
      <alignment vertical="top"/>
    </xf>
    <xf numFmtId="0" fontId="30" fillId="33" borderId="11" xfId="0" applyFont="1" applyFill="1" applyBorder="1" applyAlignment="1" applyProtection="1">
      <alignment horizontal="center"/>
      <protection locked="0"/>
    </xf>
    <xf numFmtId="0" fontId="27" fillId="33" borderId="0" xfId="0" applyFont="1" applyFill="1" applyBorder="1" applyAlignment="1" applyProtection="1">
      <alignment horizontal="center" vertical="top" wrapText="1"/>
      <protection locked="0"/>
    </xf>
    <xf numFmtId="0" fontId="30" fillId="33" borderId="0" xfId="0" applyFont="1" applyFill="1" applyBorder="1" applyProtection="1"/>
    <xf numFmtId="0" fontId="30" fillId="33" borderId="0" xfId="0" applyFont="1" applyFill="1" applyBorder="1" applyAlignment="1" applyProtection="1">
      <alignment vertical="top"/>
    </xf>
    <xf numFmtId="0" fontId="22" fillId="0" borderId="10" xfId="0" applyFont="1" applyBorder="1" applyAlignment="1">
      <alignment wrapText="1"/>
    </xf>
    <xf numFmtId="0" fontId="27" fillId="33" borderId="0" xfId="0" applyFont="1" applyFill="1" applyBorder="1" applyAlignment="1" applyProtection="1">
      <alignment vertical="top" wrapText="1"/>
      <protection locked="0"/>
    </xf>
    <xf numFmtId="3" fontId="26" fillId="33" borderId="0" xfId="0" applyNumberFormat="1" applyFont="1" applyFill="1" applyBorder="1" applyAlignment="1" applyProtection="1">
      <alignment horizontal="right" vertical="top"/>
    </xf>
    <xf numFmtId="3" fontId="27" fillId="33" borderId="0" xfId="0" applyNumberFormat="1" applyFont="1" applyFill="1" applyBorder="1" applyAlignment="1" applyProtection="1">
      <alignment horizontal="right" vertical="top"/>
    </xf>
    <xf numFmtId="3" fontId="27" fillId="33" borderId="0" xfId="45" applyNumberFormat="1" applyFont="1" applyFill="1" applyBorder="1" applyAlignment="1" applyProtection="1">
      <alignment horizontal="right" vertical="top" wrapText="1"/>
      <protection locked="0"/>
    </xf>
    <xf numFmtId="0" fontId="27" fillId="33" borderId="0" xfId="0" applyFont="1" applyFill="1" applyBorder="1" applyAlignment="1">
      <alignment vertical="top" wrapText="1"/>
    </xf>
    <xf numFmtId="3" fontId="26" fillId="34" borderId="0" xfId="0" applyNumberFormat="1" applyFont="1" applyFill="1" applyBorder="1" applyAlignment="1" applyProtection="1">
      <alignment horizontal="right" vertical="top"/>
    </xf>
    <xf numFmtId="3" fontId="27" fillId="34" borderId="0" xfId="0" applyNumberFormat="1" applyFont="1" applyFill="1" applyBorder="1" applyAlignment="1" applyProtection="1">
      <alignment horizontal="right" vertical="top"/>
    </xf>
    <xf numFmtId="3" fontId="27" fillId="34" borderId="0" xfId="45" applyNumberFormat="1" applyFont="1" applyFill="1" applyBorder="1" applyAlignment="1" applyProtection="1">
      <alignment horizontal="right" vertical="top" wrapText="1"/>
      <protection locked="0"/>
    </xf>
    <xf numFmtId="0" fontId="26" fillId="34" borderId="0" xfId="0" applyFont="1" applyFill="1" applyBorder="1" applyAlignment="1">
      <alignment vertical="top" wrapText="1"/>
    </xf>
    <xf numFmtId="3" fontId="27" fillId="34" borderId="0" xfId="0" applyNumberFormat="1" applyFont="1" applyFill="1" applyBorder="1" applyAlignment="1" applyProtection="1">
      <alignment vertical="top"/>
      <protection locked="0"/>
    </xf>
    <xf numFmtId="3" fontId="26" fillId="34" borderId="0" xfId="45" applyNumberFormat="1" applyFont="1" applyFill="1" applyBorder="1" applyAlignment="1" applyProtection="1">
      <alignment vertical="top"/>
    </xf>
    <xf numFmtId="3" fontId="26" fillId="34" borderId="0" xfId="0" applyNumberFormat="1" applyFont="1" applyFill="1" applyBorder="1" applyAlignment="1" applyProtection="1">
      <alignment vertical="top"/>
    </xf>
    <xf numFmtId="3" fontId="27" fillId="34" borderId="0" xfId="45" applyNumberFormat="1" applyFont="1" applyFill="1" applyBorder="1" applyAlignment="1" applyProtection="1">
      <alignment vertical="top"/>
    </xf>
    <xf numFmtId="3" fontId="27" fillId="34" borderId="0" xfId="0" applyNumberFormat="1" applyFont="1" applyFill="1" applyBorder="1" applyAlignment="1" applyProtection="1">
      <alignment vertical="top"/>
    </xf>
    <xf numFmtId="3" fontId="28" fillId="34" borderId="0" xfId="45" applyNumberFormat="1" applyFont="1" applyFill="1" applyBorder="1" applyAlignment="1" applyProtection="1">
      <alignment vertical="top"/>
    </xf>
    <xf numFmtId="0" fontId="20" fillId="34" borderId="0" xfId="0" applyFont="1" applyFill="1" applyAlignment="1">
      <alignment horizontal="center" wrapText="1"/>
    </xf>
    <xf numFmtId="0" fontId="30" fillId="33" borderId="0" xfId="0" applyFont="1" applyFill="1" applyBorder="1" applyAlignment="1">
      <alignment vertical="top"/>
    </xf>
    <xf numFmtId="0" fontId="30" fillId="33" borderId="0" xfId="0" applyFont="1" applyFill="1" applyBorder="1" applyAlignment="1">
      <alignment horizontal="left" vertical="top"/>
    </xf>
    <xf numFmtId="0" fontId="33" fillId="35" borderId="11" xfId="0" applyFont="1" applyFill="1" applyBorder="1" applyAlignment="1">
      <alignment horizontal="center" vertical="center" wrapText="1"/>
    </xf>
    <xf numFmtId="0" fontId="33" fillId="35" borderId="11" xfId="46" applyFont="1" applyFill="1" applyBorder="1" applyAlignment="1">
      <alignment horizontal="center" vertical="center" wrapText="1"/>
    </xf>
    <xf numFmtId="0" fontId="33" fillId="35" borderId="12" xfId="46" applyFont="1" applyFill="1" applyBorder="1" applyAlignment="1">
      <alignment horizontal="center" vertical="center" wrapText="1"/>
    </xf>
    <xf numFmtId="0" fontId="33" fillId="35" borderId="10" xfId="46" applyFont="1" applyFill="1" applyBorder="1" applyAlignment="1">
      <alignment horizontal="center" vertical="center" wrapText="1"/>
    </xf>
    <xf numFmtId="0" fontId="33" fillId="35" borderId="13" xfId="46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wrapText="1"/>
    </xf>
    <xf numFmtId="0" fontId="30" fillId="33" borderId="0" xfId="0" applyFont="1" applyFill="1" applyBorder="1" applyAlignment="1" applyProtection="1">
      <protection locked="0"/>
    </xf>
    <xf numFmtId="0" fontId="26" fillId="33" borderId="0" xfId="47" applyNumberFormat="1" applyFont="1" applyFill="1" applyBorder="1" applyAlignment="1" applyProtection="1">
      <alignment vertical="top"/>
    </xf>
    <xf numFmtId="0" fontId="34" fillId="33" borderId="0" xfId="0" applyFont="1" applyFill="1" applyBorder="1" applyAlignment="1" applyProtection="1">
      <alignment vertical="top"/>
    </xf>
    <xf numFmtId="3" fontId="27" fillId="33" borderId="0" xfId="0" applyNumberFormat="1" applyFont="1" applyFill="1" applyBorder="1" applyAlignment="1" applyProtection="1">
      <alignment horizontal="right" vertical="top"/>
      <protection locked="0"/>
    </xf>
    <xf numFmtId="0" fontId="26" fillId="33" borderId="0" xfId="0" applyFont="1" applyFill="1" applyBorder="1" applyAlignment="1" applyProtection="1">
      <alignment horizontal="right" vertical="top"/>
      <protection locked="0"/>
    </xf>
    <xf numFmtId="0" fontId="27" fillId="33" borderId="0" xfId="0" applyNumberFormat="1" applyFont="1" applyFill="1" applyBorder="1" applyAlignment="1" applyProtection="1">
      <alignment horizontal="right" vertical="top"/>
      <protection locked="0"/>
    </xf>
    <xf numFmtId="0" fontId="26" fillId="33" borderId="0" xfId="0" applyFont="1" applyFill="1" applyBorder="1" applyAlignment="1" applyProtection="1">
      <alignment horizontal="right" vertical="top"/>
    </xf>
    <xf numFmtId="3" fontId="29" fillId="33" borderId="0" xfId="0" applyNumberFormat="1" applyFont="1" applyFill="1" applyBorder="1" applyAlignment="1" applyProtection="1">
      <alignment horizontal="right" vertical="top"/>
    </xf>
    <xf numFmtId="3" fontId="26" fillId="33" borderId="0" xfId="0" applyNumberFormat="1" applyFont="1" applyFill="1" applyBorder="1" applyAlignment="1" applyProtection="1">
      <alignment horizontal="right" vertical="top"/>
      <protection locked="0"/>
    </xf>
    <xf numFmtId="3" fontId="29" fillId="33" borderId="10" xfId="0" applyNumberFormat="1" applyFont="1" applyFill="1" applyBorder="1" applyAlignment="1" applyProtection="1">
      <alignment horizontal="right" vertical="top"/>
    </xf>
    <xf numFmtId="0" fontId="18" fillId="0" borderId="0" xfId="0" applyFont="1" applyBorder="1"/>
    <xf numFmtId="166" fontId="33" fillId="35" borderId="11" xfId="45" applyNumberFormat="1" applyFont="1" applyFill="1" applyBorder="1" applyAlignment="1">
      <alignment horizontal="center" vertical="center" wrapText="1"/>
    </xf>
    <xf numFmtId="0" fontId="33" fillId="35" borderId="15" xfId="0" applyFont="1" applyFill="1" applyBorder="1" applyAlignment="1">
      <alignment horizontal="center" vertical="center" wrapText="1"/>
    </xf>
    <xf numFmtId="0" fontId="33" fillId="35" borderId="16" xfId="0" applyFont="1" applyFill="1" applyBorder="1" applyAlignment="1">
      <alignment horizontal="center" vertical="center" wrapText="1"/>
    </xf>
    <xf numFmtId="3" fontId="31" fillId="33" borderId="0" xfId="0" applyNumberFormat="1" applyFont="1" applyFill="1" applyBorder="1" applyAlignment="1" applyProtection="1">
      <alignment horizontal="right" vertical="top"/>
      <protection locked="0"/>
    </xf>
    <xf numFmtId="3" fontId="31" fillId="33" borderId="0" xfId="0" applyNumberFormat="1" applyFont="1" applyFill="1" applyBorder="1" applyAlignment="1" applyProtection="1">
      <alignment horizontal="right" vertical="top"/>
    </xf>
    <xf numFmtId="3" fontId="30" fillId="33" borderId="0" xfId="0" applyNumberFormat="1" applyFont="1" applyFill="1" applyBorder="1" applyAlignment="1">
      <alignment horizontal="right" vertical="top"/>
    </xf>
    <xf numFmtId="3" fontId="31" fillId="33" borderId="0" xfId="0" applyNumberFormat="1" applyFont="1" applyFill="1" applyBorder="1" applyAlignment="1">
      <alignment horizontal="right" vertical="top"/>
    </xf>
    <xf numFmtId="3" fontId="30" fillId="33" borderId="0" xfId="0" applyNumberFormat="1" applyFont="1" applyFill="1" applyBorder="1" applyAlignment="1" applyProtection="1">
      <alignment horizontal="right" vertical="top"/>
      <protection locked="0"/>
    </xf>
    <xf numFmtId="3" fontId="31" fillId="33" borderId="14" xfId="0" applyNumberFormat="1" applyFont="1" applyFill="1" applyBorder="1" applyAlignment="1">
      <alignment horizontal="right" vertical="top"/>
    </xf>
    <xf numFmtId="3" fontId="31" fillId="33" borderId="10" xfId="0" applyNumberFormat="1" applyFont="1" applyFill="1" applyBorder="1" applyAlignment="1">
      <alignment horizontal="right" vertical="top"/>
    </xf>
    <xf numFmtId="0" fontId="22" fillId="0" borderId="0" xfId="0" applyFont="1" applyAlignment="1">
      <alignment horizontal="center" wrapText="1"/>
    </xf>
    <xf numFmtId="0" fontId="30" fillId="33" borderId="0" xfId="0" applyFont="1" applyFill="1" applyBorder="1" applyAlignment="1" applyProtection="1">
      <alignment horizontal="center"/>
      <protection locked="0"/>
    </xf>
    <xf numFmtId="0" fontId="30" fillId="33" borderId="11" xfId="0" applyFont="1" applyFill="1" applyBorder="1" applyAlignment="1" applyProtection="1">
      <alignment horizontal="center"/>
      <protection locked="0"/>
    </xf>
    <xf numFmtId="0" fontId="27" fillId="33" borderId="0" xfId="0" applyFont="1" applyFill="1" applyBorder="1" applyAlignment="1" applyProtection="1">
      <alignment horizontal="center" vertical="top" wrapText="1"/>
      <protection locked="0"/>
    </xf>
    <xf numFmtId="0" fontId="20" fillId="0" borderId="0" xfId="0" applyFont="1" applyAlignment="1">
      <alignment wrapText="1"/>
    </xf>
    <xf numFmtId="0" fontId="26" fillId="33" borderId="0" xfId="46" applyFont="1" applyFill="1" applyBorder="1" applyAlignment="1">
      <alignment vertical="top"/>
    </xf>
    <xf numFmtId="0" fontId="27" fillId="33" borderId="0" xfId="46" applyFont="1" applyFill="1" applyBorder="1" applyAlignment="1">
      <alignment horizontal="left" vertical="top"/>
    </xf>
    <xf numFmtId="0" fontId="26" fillId="33" borderId="0" xfId="46" applyFont="1" applyFill="1" applyBorder="1" applyAlignment="1">
      <alignment horizontal="left" vertical="top"/>
    </xf>
    <xf numFmtId="0" fontId="30" fillId="33" borderId="0" xfId="0" applyFont="1" applyFill="1" applyBorder="1"/>
    <xf numFmtId="0" fontId="27" fillId="33" borderId="0" xfId="46" applyFont="1" applyFill="1" applyBorder="1" applyAlignment="1">
      <alignment vertical="top" wrapText="1"/>
    </xf>
    <xf numFmtId="3" fontId="26" fillId="33" borderId="0" xfId="46" applyNumberFormat="1" applyFont="1" applyFill="1" applyBorder="1" applyAlignment="1">
      <alignment vertical="top"/>
    </xf>
    <xf numFmtId="3" fontId="27" fillId="33" borderId="0" xfId="46" applyNumberFormat="1" applyFont="1" applyFill="1" applyBorder="1" applyAlignment="1" applyProtection="1">
      <alignment vertical="top"/>
      <protection locked="0"/>
    </xf>
    <xf numFmtId="0" fontId="27" fillId="33" borderId="0" xfId="46" applyFont="1" applyFill="1" applyBorder="1" applyAlignment="1">
      <alignment vertical="top"/>
    </xf>
    <xf numFmtId="3" fontId="26" fillId="33" borderId="0" xfId="46" applyNumberFormat="1" applyFont="1" applyFill="1" applyBorder="1" applyAlignment="1">
      <alignment horizontal="right" vertical="top" wrapText="1"/>
    </xf>
    <xf numFmtId="3" fontId="27" fillId="33" borderId="0" xfId="46" applyNumberFormat="1" applyFont="1" applyFill="1" applyBorder="1" applyAlignment="1">
      <alignment vertical="top"/>
    </xf>
    <xf numFmtId="0" fontId="26" fillId="33" borderId="0" xfId="46" applyFont="1" applyFill="1" applyBorder="1" applyAlignment="1">
      <alignment horizontal="left" vertical="top" wrapText="1"/>
    </xf>
    <xf numFmtId="0" fontId="26" fillId="33" borderId="0" xfId="46" applyFont="1" applyFill="1" applyBorder="1" applyAlignment="1">
      <alignment vertical="top" wrapText="1"/>
    </xf>
    <xf numFmtId="0" fontId="19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9" fillId="0" borderId="0" xfId="0" applyFont="1" applyFill="1" applyAlignment="1">
      <alignment horizontal="center" wrapText="1"/>
    </xf>
    <xf numFmtId="0" fontId="33" fillId="0" borderId="0" xfId="0" applyFont="1" applyFill="1" applyBorder="1" applyAlignment="1">
      <alignment horizontal="center" vertical="center" wrapText="1"/>
    </xf>
    <xf numFmtId="0" fontId="30" fillId="33" borderId="0" xfId="0" applyFont="1" applyFill="1" applyBorder="1" applyAlignment="1" applyProtection="1">
      <alignment horizontal="center" vertical="top"/>
    </xf>
    <xf numFmtId="0" fontId="19" fillId="33" borderId="0" xfId="0" applyFont="1" applyFill="1" applyBorder="1" applyAlignment="1" applyProtection="1">
      <alignment horizontal="center" vertical="top"/>
    </xf>
    <xf numFmtId="0" fontId="30" fillId="33" borderId="0" xfId="0" applyFont="1" applyFill="1" applyAlignment="1" applyProtection="1">
      <alignment horizontal="center"/>
    </xf>
    <xf numFmtId="43" fontId="27" fillId="33" borderId="0" xfId="45" applyFont="1" applyFill="1" applyBorder="1" applyAlignment="1" applyProtection="1">
      <alignment horizontal="center"/>
    </xf>
    <xf numFmtId="43" fontId="27" fillId="33" borderId="0" xfId="45" applyFont="1" applyFill="1" applyBorder="1" applyAlignment="1" applyProtection="1">
      <alignment horizontal="center" vertical="top"/>
    </xf>
    <xf numFmtId="0" fontId="31" fillId="0" borderId="0" xfId="0" applyFont="1" applyAlignment="1">
      <alignment horizontal="justify" vertical="center"/>
    </xf>
    <xf numFmtId="0" fontId="36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37" fillId="0" borderId="0" xfId="0" applyFont="1" applyAlignment="1">
      <alignment horizontal="justify" vertical="center"/>
    </xf>
    <xf numFmtId="167" fontId="30" fillId="0" borderId="0" xfId="45" applyNumberFormat="1" applyFont="1"/>
    <xf numFmtId="167" fontId="36" fillId="0" borderId="0" xfId="45" applyNumberFormat="1" applyFont="1" applyAlignment="1">
      <alignment horizontal="justify" vertical="center"/>
    </xf>
    <xf numFmtId="167" fontId="30" fillId="36" borderId="0" xfId="45" applyNumberFormat="1" applyFont="1" applyFill="1"/>
    <xf numFmtId="0" fontId="30" fillId="36" borderId="0" xfId="0" applyFont="1" applyFill="1" applyAlignment="1">
      <alignment horizontal="justify" vertical="center"/>
    </xf>
    <xf numFmtId="43" fontId="30" fillId="0" borderId="0" xfId="0" applyNumberFormat="1" applyFont="1" applyAlignment="1">
      <alignment horizontal="justify" vertical="center"/>
    </xf>
    <xf numFmtId="167" fontId="30" fillId="37" borderId="0" xfId="45" applyNumberFormat="1" applyFont="1" applyFill="1"/>
    <xf numFmtId="0" fontId="37" fillId="36" borderId="0" xfId="0" applyFont="1" applyFill="1" applyAlignment="1">
      <alignment horizontal="justify" vertical="center"/>
    </xf>
    <xf numFmtId="0" fontId="31" fillId="36" borderId="0" xfId="0" applyFont="1" applyFill="1" applyAlignment="1">
      <alignment horizontal="justify" vertical="center"/>
    </xf>
    <xf numFmtId="0" fontId="36" fillId="36" borderId="0" xfId="0" applyFont="1" applyFill="1" applyAlignment="1">
      <alignment horizontal="justify" vertical="center"/>
    </xf>
    <xf numFmtId="0" fontId="30" fillId="0" borderId="0" xfId="0" applyFont="1" applyFill="1" applyAlignment="1">
      <alignment horizontal="justify" vertical="center"/>
    </xf>
    <xf numFmtId="167" fontId="30" fillId="0" borderId="0" xfId="45" applyNumberFormat="1" applyFont="1" applyFill="1"/>
    <xf numFmtId="167" fontId="30" fillId="0" borderId="0" xfId="45" applyNumberFormat="1" applyFont="1" applyAlignment="1">
      <alignment horizontal="justify" vertical="center"/>
    </xf>
    <xf numFmtId="167" fontId="30" fillId="36" borderId="0" xfId="45" applyNumberFormat="1" applyFont="1" applyFill="1" applyAlignment="1">
      <alignment horizontal="justify" vertical="center"/>
    </xf>
    <xf numFmtId="167" fontId="32" fillId="36" borderId="0" xfId="45" applyNumberFormat="1" applyFont="1" applyFill="1"/>
    <xf numFmtId="0" fontId="37" fillId="0" borderId="0" xfId="0" applyFont="1" applyFill="1" applyAlignment="1">
      <alignment horizontal="justify" vertical="center"/>
    </xf>
    <xf numFmtId="43" fontId="30" fillId="0" borderId="0" xfId="45" applyFont="1" applyAlignment="1">
      <alignment horizontal="justify" vertical="center"/>
    </xf>
    <xf numFmtId="167" fontId="31" fillId="0" borderId="0" xfId="45" applyNumberFormat="1" applyFont="1"/>
    <xf numFmtId="167" fontId="31" fillId="36" borderId="0" xfId="45" applyNumberFormat="1" applyFont="1" applyFill="1"/>
    <xf numFmtId="167" fontId="26" fillId="34" borderId="0" xfId="45" applyNumberFormat="1" applyFont="1" applyFill="1" applyBorder="1" applyAlignment="1">
      <alignment vertical="top" wrapText="1"/>
    </xf>
    <xf numFmtId="3" fontId="26" fillId="34" borderId="0" xfId="0" applyNumberFormat="1" applyFont="1" applyFill="1" applyBorder="1" applyAlignment="1">
      <alignment vertical="top" wrapText="1"/>
    </xf>
    <xf numFmtId="0" fontId="39" fillId="0" borderId="0" xfId="0" applyFont="1" applyAlignment="1">
      <alignment horizontal="justify" vertical="center"/>
    </xf>
    <xf numFmtId="167" fontId="36" fillId="0" borderId="0" xfId="0" applyNumberFormat="1" applyFont="1" applyAlignment="1">
      <alignment horizontal="justify" vertical="center"/>
    </xf>
    <xf numFmtId="167" fontId="31" fillId="0" borderId="0" xfId="0" applyNumberFormat="1" applyFont="1" applyAlignment="1">
      <alignment horizontal="justify" vertical="center"/>
    </xf>
    <xf numFmtId="167" fontId="30" fillId="0" borderId="0" xfId="45" applyNumberFormat="1" applyFont="1" applyFill="1" applyAlignment="1">
      <alignment horizontal="justify" vertical="center"/>
    </xf>
    <xf numFmtId="167" fontId="30" fillId="0" borderId="0" xfId="45" applyNumberFormat="1" applyFont="1" applyFill="1" applyAlignment="1">
      <alignment vertical="center"/>
    </xf>
    <xf numFmtId="167" fontId="31" fillId="0" borderId="0" xfId="45" applyNumberFormat="1" applyFont="1" applyAlignment="1">
      <alignment horizontal="justify" vertical="center"/>
    </xf>
    <xf numFmtId="167" fontId="31" fillId="36" borderId="0" xfId="0" applyNumberFormat="1" applyFont="1" applyFill="1" applyAlignment="1">
      <alignment horizontal="justify" vertical="center"/>
    </xf>
    <xf numFmtId="167" fontId="30" fillId="37" borderId="0" xfId="0" applyNumberFormat="1" applyFont="1" applyFill="1" applyAlignment="1">
      <alignment horizontal="justify" vertical="center"/>
    </xf>
    <xf numFmtId="0" fontId="27" fillId="33" borderId="0" xfId="0" applyFont="1" applyFill="1" applyBorder="1" applyAlignment="1" applyProtection="1">
      <alignment horizontal="center" vertical="top" wrapText="1"/>
      <protection locked="0"/>
    </xf>
    <xf numFmtId="0" fontId="30" fillId="33" borderId="0" xfId="0" applyFont="1" applyFill="1" applyBorder="1" applyAlignment="1" applyProtection="1">
      <alignment horizontal="center"/>
      <protection locked="0"/>
    </xf>
    <xf numFmtId="43" fontId="30" fillId="37" borderId="0" xfId="0" applyNumberFormat="1" applyFont="1" applyFill="1" applyAlignment="1">
      <alignment horizontal="justify" vertical="center"/>
    </xf>
    <xf numFmtId="0" fontId="30" fillId="33" borderId="0" xfId="0" applyFont="1" applyFill="1" applyBorder="1" applyAlignment="1" applyProtection="1">
      <alignment horizontal="center"/>
      <protection locked="0"/>
    </xf>
    <xf numFmtId="0" fontId="29" fillId="33" borderId="0" xfId="0" applyFont="1" applyFill="1" applyBorder="1" applyAlignment="1" applyProtection="1">
      <alignment horizontal="left" vertical="top" wrapText="1"/>
    </xf>
    <xf numFmtId="0" fontId="27" fillId="33" borderId="0" xfId="0" applyFont="1" applyFill="1" applyBorder="1" applyAlignment="1" applyProtection="1">
      <alignment horizontal="left" vertical="top"/>
    </xf>
    <xf numFmtId="0" fontId="27" fillId="33" borderId="0" xfId="0" applyFont="1" applyFill="1" applyBorder="1" applyAlignment="1" applyProtection="1">
      <alignment horizontal="center" vertical="top" wrapText="1"/>
      <protection locked="0"/>
    </xf>
    <xf numFmtId="0" fontId="27" fillId="33" borderId="0" xfId="0" applyFont="1" applyFill="1" applyBorder="1" applyAlignment="1" applyProtection="1">
      <alignment horizontal="left" vertical="top" wrapText="1"/>
    </xf>
    <xf numFmtId="0" fontId="26" fillId="33" borderId="0" xfId="0" applyFont="1" applyFill="1" applyBorder="1" applyAlignment="1" applyProtection="1">
      <alignment horizontal="left" vertical="top" wrapText="1"/>
    </xf>
    <xf numFmtId="0" fontId="30" fillId="33" borderId="0" xfId="0" applyFont="1" applyFill="1" applyBorder="1" applyAlignment="1" applyProtection="1">
      <alignment horizontal="center"/>
      <protection locked="0"/>
    </xf>
    <xf numFmtId="0" fontId="29" fillId="33" borderId="0" xfId="0" applyFont="1" applyFill="1" applyBorder="1" applyAlignment="1">
      <alignment vertical="top" wrapText="1"/>
    </xf>
    <xf numFmtId="0" fontId="26" fillId="33" borderId="0" xfId="0" applyFont="1" applyFill="1" applyBorder="1" applyAlignment="1">
      <alignment vertical="top" wrapText="1"/>
    </xf>
    <xf numFmtId="0" fontId="22" fillId="0" borderId="0" xfId="0" applyFont="1" applyBorder="1" applyAlignment="1">
      <alignment horizontal="center" wrapText="1"/>
    </xf>
    <xf numFmtId="0" fontId="26" fillId="33" borderId="0" xfId="0" applyFont="1" applyFill="1" applyBorder="1" applyAlignment="1" applyProtection="1">
      <alignment horizontal="left" vertical="top"/>
    </xf>
    <xf numFmtId="0" fontId="33" fillId="35" borderId="10" xfId="0" applyFont="1" applyFill="1" applyBorder="1" applyAlignment="1">
      <alignment horizontal="center" vertical="center" wrapText="1"/>
    </xf>
    <xf numFmtId="0" fontId="19" fillId="33" borderId="0" xfId="0" applyFont="1" applyFill="1"/>
    <xf numFmtId="0" fontId="25" fillId="33" borderId="0" xfId="50" applyFont="1" applyFill="1"/>
    <xf numFmtId="0" fontId="25" fillId="33" borderId="0" xfId="50" applyFont="1" applyFill="1" applyAlignment="1">
      <alignment horizontal="center"/>
    </xf>
    <xf numFmtId="0" fontId="25" fillId="33" borderId="0" xfId="50" applyFont="1" applyFill="1" applyAlignment="1"/>
    <xf numFmtId="37" fontId="40" fillId="36" borderId="19" xfId="50" applyNumberFormat="1" applyFont="1" applyFill="1" applyBorder="1" applyAlignment="1">
      <alignment horizontal="center" vertical="center"/>
    </xf>
    <xf numFmtId="37" fontId="40" fillId="36" borderId="19" xfId="50" applyNumberFormat="1" applyFont="1" applyFill="1" applyBorder="1" applyAlignment="1">
      <alignment horizontal="center" wrapText="1"/>
    </xf>
    <xf numFmtId="0" fontId="19" fillId="33" borderId="0" xfId="50" applyFont="1" applyFill="1"/>
    <xf numFmtId="0" fontId="41" fillId="33" borderId="15" xfId="50" applyFont="1" applyFill="1" applyBorder="1"/>
    <xf numFmtId="0" fontId="41" fillId="33" borderId="11" xfId="50" applyFont="1" applyFill="1" applyBorder="1"/>
    <xf numFmtId="0" fontId="41" fillId="33" borderId="12" xfId="50" applyFont="1" applyFill="1" applyBorder="1"/>
    <xf numFmtId="0" fontId="41" fillId="33" borderId="12" xfId="50" applyFont="1" applyFill="1" applyBorder="1" applyAlignment="1">
      <alignment horizontal="center"/>
    </xf>
    <xf numFmtId="0" fontId="41" fillId="33" borderId="20" xfId="50" applyFont="1" applyFill="1" applyBorder="1" applyAlignment="1">
      <alignment horizontal="center"/>
    </xf>
    <xf numFmtId="0" fontId="42" fillId="33" borderId="21" xfId="0" applyFont="1" applyFill="1" applyBorder="1" applyAlignment="1">
      <alignment vertical="center" wrapText="1"/>
    </xf>
    <xf numFmtId="0" fontId="41" fillId="33" borderId="17" xfId="50" applyFont="1" applyFill="1" applyBorder="1" applyAlignment="1">
      <alignment horizontal="center" vertical="center"/>
    </xf>
    <xf numFmtId="0" fontId="43" fillId="33" borderId="0" xfId="50" applyFont="1" applyFill="1"/>
    <xf numFmtId="0" fontId="41" fillId="33" borderId="16" xfId="50" applyFont="1" applyFill="1" applyBorder="1" applyAlignment="1">
      <alignment horizontal="center" vertical="center"/>
    </xf>
    <xf numFmtId="0" fontId="41" fillId="33" borderId="10" xfId="50" applyFont="1" applyFill="1" applyBorder="1" applyAlignment="1">
      <alignment horizontal="center" vertical="center"/>
    </xf>
    <xf numFmtId="0" fontId="41" fillId="33" borderId="13" xfId="50" applyFont="1" applyFill="1" applyBorder="1" applyAlignment="1">
      <alignment wrapText="1"/>
    </xf>
    <xf numFmtId="167" fontId="41" fillId="33" borderId="13" xfId="51" applyNumberFormat="1" applyFont="1" applyFill="1" applyBorder="1" applyAlignment="1">
      <alignment horizontal="center"/>
    </xf>
    <xf numFmtId="167" fontId="41" fillId="33" borderId="22" xfId="51" applyNumberFormat="1" applyFont="1" applyFill="1" applyBorder="1" applyAlignment="1">
      <alignment horizontal="center"/>
    </xf>
    <xf numFmtId="0" fontId="43" fillId="33" borderId="23" xfId="50" applyFont="1" applyFill="1" applyBorder="1" applyAlignment="1">
      <alignment horizontal="centerContinuous"/>
    </xf>
    <xf numFmtId="0" fontId="43" fillId="33" borderId="24" xfId="50" applyFont="1" applyFill="1" applyBorder="1" applyAlignment="1">
      <alignment horizontal="centerContinuous"/>
    </xf>
    <xf numFmtId="0" fontId="43" fillId="33" borderId="25" xfId="50" applyFont="1" applyFill="1" applyBorder="1" applyAlignment="1">
      <alignment horizontal="left" wrapText="1"/>
    </xf>
    <xf numFmtId="0" fontId="45" fillId="33" borderId="11" xfId="0" applyFont="1" applyFill="1" applyBorder="1" applyAlignment="1">
      <alignment vertical="top" wrapText="1"/>
    </xf>
    <xf numFmtId="0" fontId="43" fillId="33" borderId="17" xfId="50" applyFont="1" applyFill="1" applyBorder="1" applyAlignment="1">
      <alignment horizontal="left"/>
    </xf>
    <xf numFmtId="0" fontId="43" fillId="33" borderId="0" xfId="50" applyFont="1" applyFill="1" applyBorder="1" applyAlignment="1">
      <alignment horizontal="left"/>
    </xf>
    <xf numFmtId="0" fontId="19" fillId="33" borderId="18" xfId="0" applyFont="1" applyFill="1" applyBorder="1"/>
    <xf numFmtId="0" fontId="47" fillId="33" borderId="21" xfId="0" applyFont="1" applyFill="1" applyBorder="1" applyAlignment="1">
      <alignment vertical="center" wrapText="1"/>
    </xf>
    <xf numFmtId="0" fontId="19" fillId="33" borderId="0" xfId="0" applyFont="1" applyFill="1" applyBorder="1"/>
    <xf numFmtId="0" fontId="42" fillId="33" borderId="18" xfId="0" applyFont="1" applyFill="1" applyBorder="1" applyAlignment="1">
      <alignment vertical="center" wrapText="1"/>
    </xf>
    <xf numFmtId="167" fontId="41" fillId="33" borderId="21" xfId="51" applyNumberFormat="1" applyFont="1" applyFill="1" applyBorder="1" applyAlignment="1">
      <alignment horizontal="center"/>
    </xf>
    <xf numFmtId="0" fontId="19" fillId="0" borderId="0" xfId="0" applyFont="1"/>
    <xf numFmtId="0" fontId="43" fillId="33" borderId="17" xfId="50" applyFont="1" applyFill="1" applyBorder="1" applyAlignment="1">
      <alignment horizontal="center" vertical="center"/>
    </xf>
    <xf numFmtId="0" fontId="25" fillId="33" borderId="0" xfId="0" applyFont="1" applyFill="1" applyBorder="1"/>
    <xf numFmtId="0" fontId="25" fillId="33" borderId="18" xfId="0" applyFont="1" applyFill="1" applyBorder="1"/>
    <xf numFmtId="167" fontId="43" fillId="33" borderId="21" xfId="51" applyNumberFormat="1" applyFont="1" applyFill="1" applyBorder="1" applyAlignment="1">
      <alignment horizontal="center"/>
    </xf>
    <xf numFmtId="0" fontId="25" fillId="33" borderId="0" xfId="0" applyFont="1" applyFill="1"/>
    <xf numFmtId="0" fontId="25" fillId="0" borderId="0" xfId="0" applyFont="1"/>
    <xf numFmtId="0" fontId="41" fillId="33" borderId="0" xfId="50" applyFont="1" applyFill="1" applyBorder="1" applyAlignment="1">
      <alignment horizontal="center" vertical="center"/>
    </xf>
    <xf numFmtId="0" fontId="43" fillId="33" borderId="25" xfId="50" applyFont="1" applyFill="1" applyBorder="1" applyAlignment="1">
      <alignment horizontal="left" wrapText="1" indent="1"/>
    </xf>
    <xf numFmtId="0" fontId="0" fillId="33" borderId="0" xfId="0" applyFill="1"/>
    <xf numFmtId="0" fontId="40" fillId="36" borderId="19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justify" vertical="center" wrapText="1"/>
    </xf>
    <xf numFmtId="0" fontId="19" fillId="33" borderId="18" xfId="0" applyFont="1" applyFill="1" applyBorder="1" applyAlignment="1">
      <alignment horizontal="justify" vertical="center" wrapText="1"/>
    </xf>
    <xf numFmtId="0" fontId="19" fillId="33" borderId="21" xfId="0" applyFont="1" applyFill="1" applyBorder="1" applyAlignment="1">
      <alignment horizontal="justify" vertical="center" wrapText="1"/>
    </xf>
    <xf numFmtId="0" fontId="19" fillId="33" borderId="17" xfId="0" applyFont="1" applyFill="1" applyBorder="1" applyAlignment="1">
      <alignment horizontal="justify" vertical="top" wrapText="1"/>
    </xf>
    <xf numFmtId="0" fontId="19" fillId="33" borderId="18" xfId="0" applyFont="1" applyFill="1" applyBorder="1" applyAlignment="1">
      <alignment horizontal="justify" vertical="top" wrapText="1"/>
    </xf>
    <xf numFmtId="0" fontId="19" fillId="33" borderId="21" xfId="0" applyFont="1" applyFill="1" applyBorder="1" applyAlignment="1">
      <alignment horizontal="right" vertical="top" wrapText="1"/>
    </xf>
    <xf numFmtId="0" fontId="19" fillId="33" borderId="16" xfId="0" applyFont="1" applyFill="1" applyBorder="1" applyAlignment="1">
      <alignment horizontal="justify" vertical="top" wrapText="1"/>
    </xf>
    <xf numFmtId="0" fontId="19" fillId="33" borderId="13" xfId="0" applyFont="1" applyFill="1" applyBorder="1" applyAlignment="1">
      <alignment horizontal="justify" vertical="top" wrapText="1"/>
    </xf>
    <xf numFmtId="0" fontId="19" fillId="33" borderId="22" xfId="0" applyFont="1" applyFill="1" applyBorder="1" applyAlignment="1">
      <alignment horizontal="justify" vertical="top" wrapText="1"/>
    </xf>
    <xf numFmtId="0" fontId="16" fillId="33" borderId="0" xfId="0" applyFont="1" applyFill="1"/>
    <xf numFmtId="0" fontId="25" fillId="33" borderId="16" xfId="0" applyFont="1" applyFill="1" applyBorder="1" applyAlignment="1">
      <alignment horizontal="justify" vertical="top" wrapText="1"/>
    </xf>
    <xf numFmtId="0" fontId="25" fillId="33" borderId="13" xfId="0" applyFont="1" applyFill="1" applyBorder="1" applyAlignment="1">
      <alignment horizontal="justify" vertical="top" wrapText="1"/>
    </xf>
    <xf numFmtId="0" fontId="16" fillId="0" borderId="0" xfId="0" applyFont="1"/>
    <xf numFmtId="0" fontId="19" fillId="33" borderId="15" xfId="0" applyFont="1" applyFill="1" applyBorder="1" applyAlignment="1">
      <alignment horizontal="justify" vertical="center" wrapText="1"/>
    </xf>
    <xf numFmtId="0" fontId="19" fillId="33" borderId="12" xfId="0" applyFont="1" applyFill="1" applyBorder="1" applyAlignment="1">
      <alignment horizontal="justify" vertical="center" wrapText="1"/>
    </xf>
    <xf numFmtId="0" fontId="19" fillId="33" borderId="20" xfId="0" applyFont="1" applyFill="1" applyBorder="1" applyAlignment="1">
      <alignment horizontal="justify" vertical="center" wrapText="1"/>
    </xf>
    <xf numFmtId="0" fontId="25" fillId="33" borderId="18" xfId="0" applyFont="1" applyFill="1" applyBorder="1" applyAlignment="1">
      <alignment horizontal="justify" vertical="center" wrapText="1"/>
    </xf>
    <xf numFmtId="0" fontId="19" fillId="33" borderId="21" xfId="0" applyFont="1" applyFill="1" applyBorder="1" applyAlignment="1">
      <alignment horizontal="right" vertical="center" wrapText="1"/>
    </xf>
    <xf numFmtId="0" fontId="25" fillId="33" borderId="17" xfId="0" applyFont="1" applyFill="1" applyBorder="1" applyAlignment="1">
      <alignment horizontal="justify" vertical="center" wrapText="1"/>
    </xf>
    <xf numFmtId="0" fontId="25" fillId="33" borderId="16" xfId="0" applyFont="1" applyFill="1" applyBorder="1" applyAlignment="1">
      <alignment horizontal="justify" vertical="center" wrapText="1"/>
    </xf>
    <xf numFmtId="0" fontId="25" fillId="33" borderId="13" xfId="0" applyFont="1" applyFill="1" applyBorder="1" applyAlignment="1">
      <alignment horizontal="justify" vertical="center" wrapText="1"/>
    </xf>
    <xf numFmtId="0" fontId="19" fillId="33" borderId="22" xfId="0" applyFont="1" applyFill="1" applyBorder="1" applyAlignment="1">
      <alignment horizontal="justify" vertical="center" wrapText="1"/>
    </xf>
    <xf numFmtId="0" fontId="48" fillId="0" borderId="0" xfId="0" applyFont="1" applyAlignment="1">
      <alignment horizontal="center"/>
    </xf>
    <xf numFmtId="0" fontId="25" fillId="33" borderId="21" xfId="0" applyFont="1" applyFill="1" applyBorder="1" applyAlignment="1">
      <alignment horizontal="right" vertical="center" wrapText="1"/>
    </xf>
    <xf numFmtId="0" fontId="42" fillId="33" borderId="17" xfId="0" applyFont="1" applyFill="1" applyBorder="1" applyAlignment="1">
      <alignment horizontal="center" vertical="center" wrapText="1"/>
    </xf>
    <xf numFmtId="0" fontId="42" fillId="33" borderId="0" xfId="0" applyFont="1" applyFill="1" applyBorder="1" applyAlignment="1">
      <alignment vertical="center" wrapText="1"/>
    </xf>
    <xf numFmtId="0" fontId="25" fillId="33" borderId="23" xfId="0" applyFont="1" applyFill="1" applyBorder="1" applyAlignment="1">
      <alignment horizontal="justify" vertical="center" wrapText="1"/>
    </xf>
    <xf numFmtId="0" fontId="25" fillId="33" borderId="25" xfId="0" applyFont="1" applyFill="1" applyBorder="1" applyAlignment="1">
      <alignment horizontal="justify" vertical="center" wrapText="1"/>
    </xf>
    <xf numFmtId="0" fontId="49" fillId="0" borderId="0" xfId="0" applyFont="1" applyAlignment="1">
      <alignment horizontal="center"/>
    </xf>
    <xf numFmtId="0" fontId="19" fillId="33" borderId="15" xfId="0" applyFont="1" applyFill="1" applyBorder="1" applyAlignment="1">
      <alignment horizontal="left" vertical="center" wrapText="1"/>
    </xf>
    <xf numFmtId="0" fontId="0" fillId="33" borderId="0" xfId="0" applyFill="1" applyAlignment="1">
      <alignment vertical="top"/>
    </xf>
    <xf numFmtId="0" fontId="25" fillId="33" borderId="21" xfId="0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19" fillId="33" borderId="17" xfId="0" applyFont="1" applyFill="1" applyBorder="1" applyAlignment="1">
      <alignment horizontal="left" vertical="top"/>
    </xf>
    <xf numFmtId="0" fontId="19" fillId="33" borderId="18" xfId="0" applyFont="1" applyFill="1" applyBorder="1" applyAlignment="1">
      <alignment horizontal="justify" vertical="top"/>
    </xf>
    <xf numFmtId="0" fontId="16" fillId="33" borderId="0" xfId="0" applyFont="1" applyFill="1" applyAlignment="1">
      <alignment vertical="top"/>
    </xf>
    <xf numFmtId="0" fontId="16" fillId="0" borderId="0" xfId="0" applyFont="1" applyAlignment="1">
      <alignment vertical="top"/>
    </xf>
    <xf numFmtId="0" fontId="19" fillId="33" borderId="21" xfId="0" applyFont="1" applyFill="1" applyBorder="1" applyAlignment="1">
      <alignment horizontal="right" vertical="top"/>
    </xf>
    <xf numFmtId="0" fontId="25" fillId="33" borderId="21" xfId="0" applyFont="1" applyFill="1" applyBorder="1" applyAlignment="1">
      <alignment horizontal="right" vertical="top"/>
    </xf>
    <xf numFmtId="0" fontId="19" fillId="33" borderId="22" xfId="0" applyFont="1" applyFill="1" applyBorder="1" applyAlignment="1">
      <alignment horizontal="right" vertical="top"/>
    </xf>
    <xf numFmtId="0" fontId="25" fillId="33" borderId="16" xfId="0" applyFont="1" applyFill="1" applyBorder="1" applyAlignment="1">
      <alignment horizontal="left" vertical="top"/>
    </xf>
    <xf numFmtId="0" fontId="50" fillId="0" borderId="0" xfId="0" applyFont="1" applyAlignment="1">
      <alignment horizontal="center"/>
    </xf>
    <xf numFmtId="0" fontId="18" fillId="33" borderId="0" xfId="0" applyFont="1" applyFill="1"/>
    <xf numFmtId="0" fontId="40" fillId="36" borderId="19" xfId="0" applyFont="1" applyFill="1" applyBorder="1" applyAlignment="1">
      <alignment horizontal="center"/>
    </xf>
    <xf numFmtId="0" fontId="19" fillId="33" borderId="19" xfId="0" applyFont="1" applyFill="1" applyBorder="1"/>
    <xf numFmtId="0" fontId="51" fillId="33" borderId="19" xfId="0" applyFont="1" applyFill="1" applyBorder="1"/>
    <xf numFmtId="0" fontId="19" fillId="33" borderId="19" xfId="0" applyFont="1" applyFill="1" applyBorder="1" applyAlignment="1">
      <alignment horizontal="center"/>
    </xf>
    <xf numFmtId="0" fontId="19" fillId="33" borderId="19" xfId="0" applyFont="1" applyFill="1" applyBorder="1" applyAlignment="1">
      <alignment horizontal="right"/>
    </xf>
    <xf numFmtId="0" fontId="51" fillId="36" borderId="0" xfId="0" applyFont="1" applyFill="1"/>
    <xf numFmtId="0" fontId="19" fillId="33" borderId="18" xfId="0" applyFont="1" applyFill="1" applyBorder="1" applyAlignment="1">
      <alignment horizontal="right" vertical="center" wrapText="1"/>
    </xf>
    <xf numFmtId="0" fontId="25" fillId="33" borderId="18" xfId="0" applyFont="1" applyFill="1" applyBorder="1" applyAlignment="1">
      <alignment horizontal="right" vertical="center" wrapText="1"/>
    </xf>
    <xf numFmtId="0" fontId="19" fillId="33" borderId="0" xfId="0" applyFont="1" applyFill="1" applyBorder="1" applyAlignment="1">
      <alignment horizontal="justify" vertical="center" wrapText="1"/>
    </xf>
    <xf numFmtId="0" fontId="19" fillId="33" borderId="16" xfId="0" applyFont="1" applyFill="1" applyBorder="1" applyAlignment="1">
      <alignment horizontal="justify" vertical="center" wrapText="1"/>
    </xf>
    <xf numFmtId="0" fontId="19" fillId="33" borderId="10" xfId="0" applyFont="1" applyFill="1" applyBorder="1" applyAlignment="1">
      <alignment horizontal="justify" vertical="center" wrapText="1"/>
    </xf>
    <xf numFmtId="0" fontId="19" fillId="33" borderId="13" xfId="0" applyFont="1" applyFill="1" applyBorder="1" applyAlignment="1">
      <alignment horizontal="justify" vertical="center" wrapText="1"/>
    </xf>
    <xf numFmtId="0" fontId="19" fillId="33" borderId="13" xfId="0" applyFont="1" applyFill="1" applyBorder="1" applyAlignment="1">
      <alignment horizontal="right" vertical="center" wrapText="1"/>
    </xf>
    <xf numFmtId="0" fontId="19" fillId="33" borderId="22" xfId="0" applyFont="1" applyFill="1" applyBorder="1" applyAlignment="1">
      <alignment horizontal="right" vertical="center" wrapText="1"/>
    </xf>
    <xf numFmtId="0" fontId="19" fillId="33" borderId="26" xfId="0" applyFont="1" applyFill="1" applyBorder="1" applyAlignment="1">
      <alignment horizontal="justify" vertical="center" wrapText="1"/>
    </xf>
    <xf numFmtId="0" fontId="25" fillId="33" borderId="27" xfId="0" applyFont="1" applyFill="1" applyBorder="1" applyAlignment="1">
      <alignment horizontal="justify" vertical="center" wrapText="1"/>
    </xf>
    <xf numFmtId="0" fontId="19" fillId="33" borderId="28" xfId="0" applyFont="1" applyFill="1" applyBorder="1" applyAlignment="1">
      <alignment horizontal="right" vertical="center" wrapText="1"/>
    </xf>
    <xf numFmtId="0" fontId="19" fillId="33" borderId="19" xfId="0" applyFont="1" applyFill="1" applyBorder="1" applyAlignment="1">
      <alignment horizontal="right" vertical="center" wrapText="1"/>
    </xf>
    <xf numFmtId="0" fontId="25" fillId="33" borderId="26" xfId="0" applyFont="1" applyFill="1" applyBorder="1" applyAlignment="1">
      <alignment horizontal="justify" vertical="center" wrapText="1"/>
    </xf>
    <xf numFmtId="0" fontId="25" fillId="33" borderId="28" xfId="0" applyFont="1" applyFill="1" applyBorder="1" applyAlignment="1">
      <alignment horizontal="right" vertical="center" wrapText="1"/>
    </xf>
    <xf numFmtId="0" fontId="26" fillId="33" borderId="0" xfId="46" applyFont="1" applyFill="1" applyBorder="1" applyAlignment="1" applyProtection="1">
      <alignment horizontal="center"/>
      <protection locked="0"/>
    </xf>
    <xf numFmtId="0" fontId="26" fillId="33" borderId="0" xfId="0" applyFont="1" applyFill="1" applyBorder="1" applyAlignment="1" applyProtection="1">
      <alignment horizontal="right"/>
      <protection locked="0"/>
    </xf>
    <xf numFmtId="0" fontId="26" fillId="33" borderId="10" xfId="0" applyNumberFormat="1" applyFont="1" applyFill="1" applyBorder="1" applyAlignment="1" applyProtection="1">
      <protection locked="0"/>
    </xf>
    <xf numFmtId="0" fontId="27" fillId="33" borderId="0" xfId="0" applyNumberFormat="1" applyFont="1" applyFill="1" applyBorder="1" applyAlignment="1" applyProtection="1">
      <protection locked="0"/>
    </xf>
    <xf numFmtId="0" fontId="30" fillId="33" borderId="0" xfId="0" applyFont="1" applyFill="1" applyProtection="1">
      <protection locked="0"/>
    </xf>
    <xf numFmtId="0" fontId="31" fillId="33" borderId="0" xfId="0" applyFont="1" applyFill="1" applyBorder="1" applyAlignment="1" applyProtection="1">
      <alignment horizontal="centerContinuous"/>
      <protection locked="0"/>
    </xf>
    <xf numFmtId="0" fontId="26" fillId="33" borderId="0" xfId="46" applyFont="1" applyFill="1" applyBorder="1" applyAlignment="1" applyProtection="1">
      <alignment horizontal="centerContinuous"/>
      <protection locked="0"/>
    </xf>
    <xf numFmtId="0" fontId="31" fillId="33" borderId="0" xfId="0" applyFont="1" applyFill="1" applyBorder="1" applyAlignment="1" applyProtection="1">
      <alignment horizontal="center"/>
      <protection locked="0"/>
    </xf>
    <xf numFmtId="0" fontId="27" fillId="33" borderId="0" xfId="46" applyFont="1" applyFill="1" applyBorder="1" applyAlignment="1" applyProtection="1">
      <alignment horizontal="center" vertical="center"/>
      <protection locked="0"/>
    </xf>
    <xf numFmtId="0" fontId="30" fillId="33" borderId="0" xfId="0" applyFont="1" applyFill="1" applyBorder="1" applyProtection="1">
      <protection locked="0"/>
    </xf>
    <xf numFmtId="0" fontId="33" fillId="35" borderId="24" xfId="46" applyFont="1" applyFill="1" applyBorder="1" applyAlignment="1" applyProtection="1">
      <alignment horizontal="center" vertical="center"/>
    </xf>
    <xf numFmtId="0" fontId="33" fillId="35" borderId="25" xfId="46" applyFont="1" applyFill="1" applyBorder="1" applyAlignment="1" applyProtection="1">
      <alignment horizontal="center" vertical="center"/>
    </xf>
    <xf numFmtId="0" fontId="30" fillId="33" borderId="17" xfId="0" applyFont="1" applyFill="1" applyBorder="1" applyAlignment="1" applyProtection="1">
      <protection locked="0"/>
    </xf>
    <xf numFmtId="0" fontId="26" fillId="33" borderId="0" xfId="46" applyFont="1" applyFill="1" applyBorder="1" applyAlignment="1" applyProtection="1">
      <alignment vertical="center"/>
      <protection locked="0"/>
    </xf>
    <xf numFmtId="0" fontId="30" fillId="0" borderId="18" xfId="0" applyFont="1" applyFill="1" applyBorder="1" applyAlignment="1" applyProtection="1">
      <protection locked="0"/>
    </xf>
    <xf numFmtId="0" fontId="27" fillId="33" borderId="17" xfId="0" applyFont="1" applyFill="1" applyBorder="1" applyAlignment="1" applyProtection="1">
      <alignment vertical="top"/>
      <protection locked="0"/>
    </xf>
    <xf numFmtId="0" fontId="27" fillId="33" borderId="0" xfId="0" applyFont="1" applyFill="1" applyBorder="1" applyAlignment="1" applyProtection="1">
      <alignment vertical="top"/>
      <protection locked="0"/>
    </xf>
    <xf numFmtId="0" fontId="30" fillId="33" borderId="18" xfId="0" applyFont="1" applyFill="1" applyBorder="1" applyAlignment="1" applyProtection="1">
      <alignment vertical="top"/>
      <protection locked="0"/>
    </xf>
    <xf numFmtId="0" fontId="27" fillId="33" borderId="17" xfId="0" applyFont="1" applyFill="1" applyBorder="1" applyAlignment="1" applyProtection="1">
      <alignment horizontal="center" vertical="top"/>
      <protection locked="0"/>
    </xf>
    <xf numFmtId="0" fontId="27" fillId="33" borderId="0" xfId="0" applyFont="1" applyFill="1" applyBorder="1" applyAlignment="1" applyProtection="1">
      <alignment horizontal="center" vertical="top"/>
      <protection locked="0"/>
    </xf>
    <xf numFmtId="0" fontId="55" fillId="33" borderId="16" xfId="0" applyFont="1" applyFill="1" applyBorder="1" applyAlignment="1" applyProtection="1">
      <alignment vertical="top"/>
      <protection locked="0"/>
    </xf>
    <xf numFmtId="0" fontId="55" fillId="33" borderId="10" xfId="0" applyFont="1" applyFill="1" applyBorder="1" applyAlignment="1" applyProtection="1">
      <alignment vertical="top"/>
      <protection locked="0"/>
    </xf>
    <xf numFmtId="3" fontId="27" fillId="33" borderId="13" xfId="0" applyNumberFormat="1" applyFont="1" applyFill="1" applyBorder="1" applyAlignment="1" applyProtection="1">
      <alignment vertical="top"/>
      <protection locked="0"/>
    </xf>
    <xf numFmtId="0" fontId="27" fillId="33" borderId="0" xfId="0" applyFont="1" applyFill="1" applyAlignment="1" applyProtection="1">
      <alignment vertical="center"/>
      <protection locked="0"/>
    </xf>
    <xf numFmtId="0" fontId="27" fillId="33" borderId="0" xfId="0" applyFont="1" applyFill="1" applyAlignment="1" applyProtection="1">
      <alignment horizontal="right" vertical="top"/>
      <protection locked="0"/>
    </xf>
    <xf numFmtId="0" fontId="27" fillId="33" borderId="10" xfId="0" applyNumberFormat="1" applyFont="1" applyFill="1" applyBorder="1" applyAlignment="1" applyProtection="1">
      <protection locked="0"/>
    </xf>
    <xf numFmtId="0" fontId="30" fillId="33" borderId="0" xfId="0" applyFont="1" applyFill="1"/>
    <xf numFmtId="0" fontId="30" fillId="33" borderId="42" xfId="0" applyFont="1" applyFill="1" applyBorder="1" applyAlignment="1">
      <alignment horizontal="center" vertical="center" wrapText="1"/>
    </xf>
    <xf numFmtId="0" fontId="30" fillId="33" borderId="43" xfId="0" applyFont="1" applyFill="1" applyBorder="1" applyAlignment="1">
      <alignment horizontal="center" vertical="center" wrapText="1"/>
    </xf>
    <xf numFmtId="0" fontId="30" fillId="33" borderId="22" xfId="0" applyFont="1" applyFill="1" applyBorder="1" applyAlignment="1">
      <alignment horizontal="center" vertical="center" wrapText="1"/>
    </xf>
    <xf numFmtId="0" fontId="30" fillId="33" borderId="19" xfId="0" applyFont="1" applyFill="1" applyBorder="1" applyAlignment="1">
      <alignment horizontal="center" vertical="center" wrapText="1"/>
    </xf>
    <xf numFmtId="0" fontId="30" fillId="33" borderId="19" xfId="0" applyFont="1" applyFill="1" applyBorder="1" applyAlignment="1">
      <alignment horizontal="justify" vertical="center" wrapText="1"/>
    </xf>
    <xf numFmtId="0" fontId="30" fillId="0" borderId="0" xfId="0" applyFont="1"/>
    <xf numFmtId="0" fontId="30" fillId="33" borderId="0" xfId="0" applyFont="1" applyFill="1" applyBorder="1" applyAlignment="1" applyProtection="1">
      <alignment wrapText="1"/>
      <protection locked="0"/>
    </xf>
    <xf numFmtId="0" fontId="30" fillId="33" borderId="21" xfId="0" applyFont="1" applyFill="1" applyBorder="1" applyProtection="1">
      <protection locked="0"/>
    </xf>
    <xf numFmtId="0" fontId="22" fillId="0" borderId="17" xfId="0" applyFont="1" applyBorder="1" applyAlignment="1">
      <alignment horizontal="center" wrapText="1"/>
    </xf>
    <xf numFmtId="0" fontId="18" fillId="0" borderId="18" xfId="0" applyFont="1" applyBorder="1"/>
    <xf numFmtId="0" fontId="19" fillId="0" borderId="17" xfId="0" applyFont="1" applyBorder="1" applyAlignment="1">
      <alignment horizontal="center" wrapText="1"/>
    </xf>
    <xf numFmtId="1" fontId="20" fillId="0" borderId="0" xfId="0" applyNumberFormat="1" applyFont="1" applyBorder="1" applyAlignment="1">
      <alignment horizontal="center" wrapText="1"/>
    </xf>
    <xf numFmtId="1" fontId="20" fillId="0" borderId="18" xfId="0" applyNumberFormat="1" applyFont="1" applyBorder="1" applyAlignment="1">
      <alignment horizontal="center" wrapText="1"/>
    </xf>
    <xf numFmtId="0" fontId="33" fillId="35" borderId="12" xfId="0" applyFont="1" applyFill="1" applyBorder="1" applyAlignment="1">
      <alignment horizontal="center" vertical="center" wrapText="1"/>
    </xf>
    <xf numFmtId="0" fontId="33" fillId="35" borderId="13" xfId="0" applyFont="1" applyFill="1" applyBorder="1" applyAlignment="1">
      <alignment horizontal="center" vertical="center" wrapText="1"/>
    </xf>
    <xf numFmtId="0" fontId="30" fillId="33" borderId="18" xfId="0" applyFont="1" applyFill="1" applyBorder="1" applyProtection="1"/>
    <xf numFmtId="0" fontId="20" fillId="0" borderId="17" xfId="0" applyFont="1" applyBorder="1" applyAlignment="1">
      <alignment horizontal="center" wrapText="1"/>
    </xf>
    <xf numFmtId="0" fontId="19" fillId="0" borderId="17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7" fillId="33" borderId="10" xfId="0" applyFont="1" applyFill="1" applyBorder="1" applyAlignment="1" applyProtection="1">
      <alignment vertical="top" wrapText="1"/>
    </xf>
    <xf numFmtId="3" fontId="27" fillId="33" borderId="10" xfId="45" applyNumberFormat="1" applyFont="1" applyFill="1" applyBorder="1" applyAlignment="1" applyProtection="1">
      <alignment vertical="top"/>
    </xf>
    <xf numFmtId="0" fontId="30" fillId="33" borderId="10" xfId="0" applyFont="1" applyFill="1" applyBorder="1" applyAlignment="1" applyProtection="1">
      <alignment horizontal="right" vertical="top"/>
    </xf>
    <xf numFmtId="3" fontId="26" fillId="33" borderId="10" xfId="0" applyNumberFormat="1" applyFont="1" applyFill="1" applyBorder="1" applyAlignment="1" applyProtection="1">
      <alignment vertical="top"/>
    </xf>
    <xf numFmtId="0" fontId="30" fillId="33" borderId="13" xfId="0" applyFont="1" applyFill="1" applyBorder="1" applyProtection="1"/>
    <xf numFmtId="0" fontId="19" fillId="0" borderId="24" xfId="0" applyFont="1" applyBorder="1" applyAlignment="1">
      <alignment horizontal="center"/>
    </xf>
    <xf numFmtId="0" fontId="27" fillId="33" borderId="24" xfId="0" applyFont="1" applyFill="1" applyBorder="1" applyAlignment="1" applyProtection="1">
      <alignment vertical="top"/>
    </xf>
    <xf numFmtId="43" fontId="27" fillId="33" borderId="24" xfId="45" applyFont="1" applyFill="1" applyBorder="1" applyProtection="1"/>
    <xf numFmtId="0" fontId="30" fillId="33" borderId="24" xfId="0" applyFont="1" applyFill="1" applyBorder="1" applyAlignment="1" applyProtection="1">
      <alignment horizontal="right" vertical="top"/>
    </xf>
    <xf numFmtId="0" fontId="27" fillId="33" borderId="24" xfId="0" applyFont="1" applyFill="1" applyBorder="1" applyAlignment="1" applyProtection="1">
      <alignment vertical="center"/>
    </xf>
    <xf numFmtId="0" fontId="27" fillId="33" borderId="24" xfId="0" applyFont="1" applyFill="1" applyBorder="1" applyProtection="1"/>
    <xf numFmtId="0" fontId="30" fillId="33" borderId="24" xfId="0" applyFont="1" applyFill="1" applyBorder="1" applyProtection="1"/>
    <xf numFmtId="167" fontId="30" fillId="33" borderId="0" xfId="45" applyNumberFormat="1" applyFont="1" applyFill="1" applyProtection="1">
      <protection locked="0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7" fillId="0" borderId="0" xfId="0" applyFont="1" applyBorder="1"/>
    <xf numFmtId="167" fontId="27" fillId="0" borderId="0" xfId="45" applyNumberFormat="1" applyFont="1" applyBorder="1" applyAlignment="1">
      <alignment horizontal="right"/>
    </xf>
    <xf numFmtId="43" fontId="30" fillId="0" borderId="0" xfId="0" applyNumberFormat="1" applyFont="1"/>
    <xf numFmtId="0" fontId="30" fillId="0" borderId="0" xfId="0" applyFont="1" applyAlignment="1">
      <alignment horizontal="left" vertical="center"/>
    </xf>
    <xf numFmtId="167" fontId="27" fillId="0" borderId="0" xfId="45" applyNumberFormat="1" applyFont="1" applyBorder="1"/>
    <xf numFmtId="0" fontId="56" fillId="0" borderId="0" xfId="49" applyFont="1" applyAlignment="1">
      <alignment horizontal="justify" vertical="center"/>
    </xf>
    <xf numFmtId="0" fontId="36" fillId="0" borderId="0" xfId="0" applyFont="1"/>
    <xf numFmtId="0" fontId="22" fillId="0" borderId="15" xfId="0" applyFont="1" applyBorder="1" applyAlignment="1">
      <alignment horizontal="center" wrapText="1"/>
    </xf>
    <xf numFmtId="0" fontId="27" fillId="33" borderId="17" xfId="0" applyFont="1" applyFill="1" applyBorder="1" applyAlignment="1" applyProtection="1">
      <alignment vertical="top" wrapText="1"/>
    </xf>
    <xf numFmtId="0" fontId="27" fillId="33" borderId="16" xfId="0" applyFont="1" applyFill="1" applyBorder="1" applyAlignment="1" applyProtection="1">
      <alignment vertical="top" wrapText="1"/>
    </xf>
    <xf numFmtId="0" fontId="21" fillId="0" borderId="15" xfId="0" applyFont="1" applyBorder="1" applyAlignment="1">
      <alignment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16" fillId="0" borderId="17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18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22" fillId="0" borderId="18" xfId="0" applyFont="1" applyBorder="1" applyAlignment="1">
      <alignment wrapText="1"/>
    </xf>
    <xf numFmtId="0" fontId="22" fillId="0" borderId="16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7" fillId="33" borderId="17" xfId="0" applyFont="1" applyFill="1" applyBorder="1" applyAlignment="1" applyProtection="1">
      <alignment horizontal="left" vertical="top" wrapText="1" indent="1"/>
    </xf>
    <xf numFmtId="0" fontId="19" fillId="0" borderId="17" xfId="0" applyFont="1" applyBorder="1" applyAlignment="1">
      <alignment horizontal="left" wrapText="1" indent="1"/>
    </xf>
    <xf numFmtId="0" fontId="26" fillId="33" borderId="17" xfId="0" applyFont="1" applyFill="1" applyBorder="1" applyAlignment="1" applyProtection="1">
      <alignment horizontal="left" vertical="top" wrapText="1" indent="2"/>
    </xf>
    <xf numFmtId="0" fontId="29" fillId="33" borderId="17" xfId="0" applyFont="1" applyFill="1" applyBorder="1" applyAlignment="1" applyProtection="1">
      <alignment horizontal="left" vertical="top" wrapText="1" indent="2"/>
    </xf>
    <xf numFmtId="0" fontId="27" fillId="33" borderId="17" xfId="0" applyFont="1" applyFill="1" applyBorder="1" applyAlignment="1" applyProtection="1">
      <alignment horizontal="left" vertical="top" wrapText="1" indent="2"/>
    </xf>
    <xf numFmtId="4" fontId="18" fillId="0" borderId="0" xfId="0" applyNumberFormat="1" applyFont="1" applyBorder="1"/>
    <xf numFmtId="0" fontId="22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33" fillId="0" borderId="17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3" fontId="27" fillId="33" borderId="18" xfId="0" applyNumberFormat="1" applyFont="1" applyFill="1" applyBorder="1" applyAlignment="1">
      <alignment vertical="top"/>
    </xf>
    <xf numFmtId="3" fontId="26" fillId="33" borderId="18" xfId="0" applyNumberFormat="1" applyFont="1" applyFill="1" applyBorder="1" applyAlignment="1" applyProtection="1">
      <alignment vertical="top"/>
    </xf>
    <xf numFmtId="3" fontId="27" fillId="33" borderId="18" xfId="45" applyNumberFormat="1" applyFont="1" applyFill="1" applyBorder="1" applyAlignment="1" applyProtection="1">
      <alignment vertical="top"/>
      <protection locked="0"/>
    </xf>
    <xf numFmtId="3" fontId="28" fillId="33" borderId="18" xfId="0" applyNumberFormat="1" applyFont="1" applyFill="1" applyBorder="1" applyAlignment="1">
      <alignment vertical="top"/>
    </xf>
    <xf numFmtId="3" fontId="26" fillId="33" borderId="18" xfId="45" applyNumberFormat="1" applyFont="1" applyFill="1" applyBorder="1" applyAlignment="1" applyProtection="1">
      <alignment vertical="top"/>
    </xf>
    <xf numFmtId="0" fontId="23" fillId="0" borderId="17" xfId="0" applyFont="1" applyFill="1" applyBorder="1" applyAlignment="1">
      <alignment wrapText="1"/>
    </xf>
    <xf numFmtId="4" fontId="25" fillId="0" borderId="0" xfId="0" applyNumberFormat="1" applyFont="1" applyBorder="1"/>
    <xf numFmtId="4" fontId="19" fillId="0" borderId="0" xfId="0" applyNumberFormat="1" applyFont="1" applyBorder="1"/>
    <xf numFmtId="0" fontId="20" fillId="0" borderId="17" xfId="0" applyFont="1" applyFill="1" applyBorder="1" applyAlignment="1">
      <alignment wrapText="1"/>
    </xf>
    <xf numFmtId="3" fontId="29" fillId="33" borderId="18" xfId="45" applyNumberFormat="1" applyFont="1" applyFill="1" applyBorder="1" applyAlignment="1" applyProtection="1">
      <alignment vertical="top"/>
    </xf>
    <xf numFmtId="0" fontId="23" fillId="0" borderId="16" xfId="0" applyFont="1" applyFill="1" applyBorder="1" applyAlignment="1">
      <alignment wrapText="1"/>
    </xf>
    <xf numFmtId="0" fontId="18" fillId="0" borderId="10" xfId="0" applyFont="1" applyBorder="1"/>
    <xf numFmtId="4" fontId="18" fillId="0" borderId="10" xfId="0" applyNumberFormat="1" applyFont="1" applyBorder="1"/>
    <xf numFmtId="0" fontId="19" fillId="0" borderId="10" xfId="0" applyFont="1" applyBorder="1" applyAlignment="1"/>
    <xf numFmtId="3" fontId="29" fillId="33" borderId="10" xfId="45" applyNumberFormat="1" applyFont="1" applyFill="1" applyBorder="1" applyAlignment="1" applyProtection="1">
      <alignment vertical="top"/>
    </xf>
    <xf numFmtId="3" fontId="29" fillId="33" borderId="13" xfId="45" applyNumberFormat="1" applyFont="1" applyFill="1" applyBorder="1" applyAlignment="1" applyProtection="1">
      <alignment vertical="top"/>
    </xf>
    <xf numFmtId="0" fontId="23" fillId="0" borderId="24" xfId="0" applyFont="1" applyFill="1" applyBorder="1" applyAlignment="1">
      <alignment wrapText="1"/>
    </xf>
    <xf numFmtId="0" fontId="18" fillId="0" borderId="24" xfId="0" applyFont="1" applyBorder="1"/>
    <xf numFmtId="4" fontId="18" fillId="0" borderId="24" xfId="0" applyNumberFormat="1" applyFont="1" applyBorder="1"/>
    <xf numFmtId="0" fontId="26" fillId="33" borderId="17" xfId="0" applyFont="1" applyFill="1" applyBorder="1" applyAlignment="1">
      <alignment horizontal="left" vertical="top" wrapText="1" indent="2"/>
    </xf>
    <xf numFmtId="0" fontId="27" fillId="33" borderId="0" xfId="0" applyFont="1" applyFill="1" applyBorder="1" applyAlignment="1">
      <alignment horizontal="left" vertical="top" indent="2"/>
    </xf>
    <xf numFmtId="0" fontId="29" fillId="33" borderId="0" xfId="0" applyFont="1" applyFill="1" applyBorder="1" applyAlignment="1">
      <alignment horizontal="left" vertical="top" indent="2"/>
    </xf>
    <xf numFmtId="0" fontId="23" fillId="0" borderId="17" xfId="0" applyFont="1" applyFill="1" applyBorder="1" applyAlignment="1">
      <alignment horizontal="left" wrapText="1" indent="2"/>
    </xf>
    <xf numFmtId="0" fontId="18" fillId="0" borderId="0" xfId="0" applyFont="1" applyBorder="1" applyAlignment="1">
      <alignment horizontal="left" indent="2"/>
    </xf>
    <xf numFmtId="1" fontId="20" fillId="34" borderId="0" xfId="0" applyNumberFormat="1" applyFont="1" applyFill="1" applyBorder="1" applyAlignment="1">
      <alignment horizontal="center" wrapText="1"/>
    </xf>
    <xf numFmtId="0" fontId="19" fillId="34" borderId="0" xfId="0" applyFont="1" applyFill="1" applyBorder="1" applyAlignment="1">
      <alignment horizontal="center" wrapText="1"/>
    </xf>
    <xf numFmtId="0" fontId="27" fillId="33" borderId="17" xfId="0" applyFont="1" applyFill="1" applyBorder="1" applyAlignment="1">
      <alignment horizontal="left" vertical="top" wrapText="1" indent="2"/>
    </xf>
    <xf numFmtId="0" fontId="27" fillId="33" borderId="10" xfId="0" applyFont="1" applyFill="1" applyBorder="1" applyAlignment="1">
      <alignment vertical="top" wrapText="1"/>
    </xf>
    <xf numFmtId="3" fontId="27" fillId="34" borderId="10" xfId="0" applyNumberFormat="1" applyFont="1" applyFill="1" applyBorder="1" applyAlignment="1" applyProtection="1">
      <alignment vertical="top"/>
      <protection locked="0"/>
    </xf>
    <xf numFmtId="3" fontId="27" fillId="33" borderId="10" xfId="0" applyNumberFormat="1" applyFont="1" applyFill="1" applyBorder="1" applyAlignment="1" applyProtection="1">
      <alignment vertical="top"/>
      <protection locked="0"/>
    </xf>
    <xf numFmtId="0" fontId="30" fillId="33" borderId="11" xfId="0" applyFont="1" applyFill="1" applyBorder="1" applyProtection="1"/>
    <xf numFmtId="0" fontId="18" fillId="0" borderId="11" xfId="0" applyFont="1" applyBorder="1"/>
    <xf numFmtId="0" fontId="31" fillId="33" borderId="17" xfId="0" applyFont="1" applyFill="1" applyBorder="1" applyAlignment="1">
      <alignment horizontal="left" vertical="top"/>
    </xf>
    <xf numFmtId="0" fontId="26" fillId="33" borderId="18" xfId="47" applyNumberFormat="1" applyFont="1" applyFill="1" applyBorder="1" applyAlignment="1" applyProtection="1">
      <alignment vertical="top"/>
    </xf>
    <xf numFmtId="0" fontId="26" fillId="33" borderId="18" xfId="0" applyFont="1" applyFill="1" applyBorder="1" applyAlignment="1" applyProtection="1">
      <alignment vertical="top"/>
    </xf>
    <xf numFmtId="3" fontId="26" fillId="33" borderId="18" xfId="0" applyNumberFormat="1" applyFont="1" applyFill="1" applyBorder="1" applyAlignment="1" applyProtection="1">
      <alignment horizontal="right" vertical="top"/>
    </xf>
    <xf numFmtId="0" fontId="34" fillId="33" borderId="17" xfId="0" applyFont="1" applyFill="1" applyBorder="1" applyAlignment="1" applyProtection="1">
      <alignment vertical="top"/>
    </xf>
    <xf numFmtId="3" fontId="27" fillId="33" borderId="18" xfId="0" applyNumberFormat="1" applyFont="1" applyFill="1" applyBorder="1" applyAlignment="1" applyProtection="1">
      <alignment horizontal="right" vertical="top"/>
      <protection locked="0"/>
    </xf>
    <xf numFmtId="0" fontId="26" fillId="33" borderId="18" xfId="0" applyFont="1" applyFill="1" applyBorder="1" applyAlignment="1" applyProtection="1">
      <alignment horizontal="right" vertical="top"/>
      <protection locked="0"/>
    </xf>
    <xf numFmtId="0" fontId="30" fillId="33" borderId="17" xfId="0" applyFont="1" applyFill="1" applyBorder="1" applyAlignment="1" applyProtection="1">
      <alignment vertical="top"/>
    </xf>
    <xf numFmtId="0" fontId="27" fillId="33" borderId="18" xfId="0" applyNumberFormat="1" applyFont="1" applyFill="1" applyBorder="1" applyAlignment="1" applyProtection="1">
      <alignment horizontal="right" vertical="top"/>
      <protection locked="0"/>
    </xf>
    <xf numFmtId="0" fontId="26" fillId="33" borderId="18" xfId="0" applyFont="1" applyFill="1" applyBorder="1" applyAlignment="1" applyProtection="1">
      <alignment horizontal="right" vertical="top"/>
    </xf>
    <xf numFmtId="3" fontId="29" fillId="33" borderId="18" xfId="0" applyNumberFormat="1" applyFont="1" applyFill="1" applyBorder="1" applyAlignment="1" applyProtection="1">
      <alignment horizontal="right" vertical="top"/>
    </xf>
    <xf numFmtId="0" fontId="26" fillId="33" borderId="17" xfId="0" applyFont="1" applyFill="1" applyBorder="1" applyAlignment="1" applyProtection="1">
      <alignment vertical="top"/>
    </xf>
    <xf numFmtId="3" fontId="26" fillId="33" borderId="18" xfId="0" applyNumberFormat="1" applyFont="1" applyFill="1" applyBorder="1" applyAlignment="1" applyProtection="1">
      <alignment horizontal="right" vertical="top"/>
      <protection locked="0"/>
    </xf>
    <xf numFmtId="0" fontId="30" fillId="33" borderId="16" xfId="0" applyFont="1" applyFill="1" applyBorder="1" applyAlignment="1">
      <alignment horizontal="left" vertical="top"/>
    </xf>
    <xf numFmtId="0" fontId="18" fillId="0" borderId="13" xfId="0" applyFont="1" applyBorder="1"/>
    <xf numFmtId="0" fontId="31" fillId="33" borderId="0" xfId="0" applyFont="1" applyFill="1" applyBorder="1" applyAlignment="1">
      <alignment horizontal="left" vertical="top" indent="2"/>
    </xf>
    <xf numFmtId="0" fontId="27" fillId="33" borderId="11" xfId="0" applyFont="1" applyFill="1" applyBorder="1" applyAlignment="1" applyProtection="1">
      <alignment vertical="top"/>
    </xf>
    <xf numFmtId="0" fontId="27" fillId="33" borderId="11" xfId="0" applyFont="1" applyFill="1" applyBorder="1" applyAlignment="1" applyProtection="1">
      <alignment horizontal="left" vertical="top" indent="2"/>
    </xf>
    <xf numFmtId="0" fontId="30" fillId="33" borderId="11" xfId="0" applyFont="1" applyFill="1" applyBorder="1" applyAlignment="1" applyProtection="1">
      <alignment horizontal="left" indent="2"/>
    </xf>
    <xf numFmtId="0" fontId="18" fillId="0" borderId="11" xfId="0" applyFont="1" applyBorder="1" applyAlignment="1">
      <alignment horizontal="left" indent="2"/>
    </xf>
    <xf numFmtId="0" fontId="31" fillId="33" borderId="17" xfId="0" applyFont="1" applyFill="1" applyBorder="1" applyAlignment="1">
      <alignment horizontal="left" vertical="top" wrapText="1" indent="2"/>
    </xf>
    <xf numFmtId="0" fontId="26" fillId="33" borderId="44" xfId="0" applyFont="1" applyFill="1" applyBorder="1" applyAlignment="1">
      <alignment horizontal="left" vertical="top" indent="2"/>
    </xf>
    <xf numFmtId="0" fontId="26" fillId="33" borderId="17" xfId="0" applyFont="1" applyFill="1" applyBorder="1" applyAlignment="1">
      <alignment horizontal="left" vertical="top" indent="2"/>
    </xf>
    <xf numFmtId="0" fontId="26" fillId="33" borderId="16" xfId="0" applyFont="1" applyFill="1" applyBorder="1" applyAlignment="1">
      <alignment horizontal="left" vertical="top" indent="2"/>
    </xf>
    <xf numFmtId="3" fontId="27" fillId="33" borderId="18" xfId="46" applyNumberFormat="1" applyFont="1" applyFill="1" applyBorder="1" applyAlignment="1">
      <alignment vertical="top"/>
    </xf>
    <xf numFmtId="0" fontId="30" fillId="33" borderId="17" xfId="0" applyFont="1" applyFill="1" applyBorder="1" applyAlignment="1">
      <alignment vertical="top"/>
    </xf>
    <xf numFmtId="3" fontId="26" fillId="33" borderId="18" xfId="46" applyNumberFormat="1" applyFont="1" applyFill="1" applyBorder="1" applyAlignment="1">
      <alignment vertical="top"/>
    </xf>
    <xf numFmtId="3" fontId="27" fillId="33" borderId="18" xfId="46" applyNumberFormat="1" applyFont="1" applyFill="1" applyBorder="1" applyAlignment="1" applyProtection="1">
      <alignment vertical="top"/>
      <protection locked="0"/>
    </xf>
    <xf numFmtId="0" fontId="30" fillId="33" borderId="18" xfId="0" applyFont="1" applyFill="1" applyBorder="1"/>
    <xf numFmtId="0" fontId="30" fillId="33" borderId="17" xfId="0" applyFont="1" applyFill="1" applyBorder="1" applyAlignment="1">
      <alignment horizontal="left" vertical="top" wrapText="1"/>
    </xf>
    <xf numFmtId="3" fontId="26" fillId="33" borderId="18" xfId="46" applyNumberFormat="1" applyFont="1" applyFill="1" applyBorder="1" applyAlignment="1">
      <alignment horizontal="right" vertical="top" wrapText="1"/>
    </xf>
    <xf numFmtId="3" fontId="26" fillId="33" borderId="18" xfId="46" applyNumberFormat="1" applyFont="1" applyFill="1" applyBorder="1" applyAlignment="1" applyProtection="1">
      <alignment horizontal="right" vertical="top" wrapText="1"/>
      <protection locked="0"/>
    </xf>
    <xf numFmtId="0" fontId="32" fillId="33" borderId="10" xfId="0" applyFont="1" applyFill="1" applyBorder="1" applyAlignment="1" applyProtection="1">
      <alignment vertical="center" wrapText="1"/>
    </xf>
    <xf numFmtId="0" fontId="26" fillId="33" borderId="10" xfId="46" applyFont="1" applyFill="1" applyBorder="1" applyAlignment="1">
      <alignment vertical="top"/>
    </xf>
    <xf numFmtId="0" fontId="26" fillId="33" borderId="10" xfId="46" applyFont="1" applyFill="1" applyBorder="1" applyAlignment="1">
      <alignment vertical="top" wrapText="1"/>
    </xf>
    <xf numFmtId="3" fontId="26" fillId="33" borderId="10" xfId="46" applyNumberFormat="1" applyFont="1" applyFill="1" applyBorder="1" applyAlignment="1" applyProtection="1">
      <alignment horizontal="right" vertical="top" wrapText="1"/>
    </xf>
    <xf numFmtId="3" fontId="26" fillId="33" borderId="13" xfId="46" applyNumberFormat="1" applyFont="1" applyFill="1" applyBorder="1" applyAlignment="1" applyProtection="1">
      <alignment horizontal="right" vertical="top" wrapText="1"/>
    </xf>
    <xf numFmtId="0" fontId="27" fillId="33" borderId="11" xfId="0" applyFont="1" applyFill="1" applyBorder="1" applyAlignment="1" applyProtection="1">
      <alignment horizontal="center" vertical="top"/>
    </xf>
    <xf numFmtId="0" fontId="26" fillId="33" borderId="17" xfId="46" applyFont="1" applyFill="1" applyBorder="1" applyAlignment="1">
      <alignment horizontal="left" vertical="top" indent="1"/>
    </xf>
    <xf numFmtId="0" fontId="22" fillId="0" borderId="17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6" fillId="33" borderId="17" xfId="0" applyFont="1" applyFill="1" applyBorder="1" applyAlignment="1">
      <alignment horizontal="left" vertical="top" wrapText="1" indent="2"/>
    </xf>
    <xf numFmtId="0" fontId="27" fillId="33" borderId="11" xfId="0" applyFont="1" applyFill="1" applyBorder="1" applyAlignment="1" applyProtection="1">
      <alignment horizontal="left" vertical="top" indent="2"/>
    </xf>
    <xf numFmtId="0" fontId="33" fillId="35" borderId="16" xfId="0" applyFont="1" applyFill="1" applyBorder="1" applyAlignment="1">
      <alignment horizontal="center" vertical="center" wrapText="1"/>
    </xf>
    <xf numFmtId="0" fontId="33" fillId="35" borderId="10" xfId="0" applyFont="1" applyFill="1" applyBorder="1" applyAlignment="1">
      <alignment horizontal="center" vertical="center" wrapText="1"/>
    </xf>
    <xf numFmtId="0" fontId="33" fillId="35" borderId="24" xfId="46" applyFont="1" applyFill="1" applyBorder="1" applyAlignment="1" applyProtection="1">
      <alignment horizontal="center" vertical="center"/>
    </xf>
    <xf numFmtId="0" fontId="40" fillId="36" borderId="19" xfId="0" applyFont="1" applyFill="1" applyBorder="1" applyAlignment="1">
      <alignment horizontal="center" vertical="center" wrapText="1"/>
    </xf>
    <xf numFmtId="0" fontId="31" fillId="33" borderId="17" xfId="0" applyFont="1" applyFill="1" applyBorder="1" applyAlignment="1">
      <alignment horizontal="left" vertical="top" indent="2"/>
    </xf>
    <xf numFmtId="0" fontId="30" fillId="33" borderId="17" xfId="0" applyFont="1" applyFill="1" applyBorder="1" applyAlignment="1">
      <alignment horizontal="left" vertical="top" indent="2"/>
    </xf>
    <xf numFmtId="0" fontId="31" fillId="33" borderId="16" xfId="0" applyFont="1" applyFill="1" applyBorder="1" applyAlignment="1">
      <alignment horizontal="left" vertical="top" indent="2"/>
    </xf>
    <xf numFmtId="0" fontId="30" fillId="33" borderId="17" xfId="0" applyFont="1" applyFill="1" applyBorder="1" applyProtection="1">
      <protection locked="0"/>
    </xf>
    <xf numFmtId="0" fontId="30" fillId="33" borderId="22" xfId="0" applyFont="1" applyFill="1" applyBorder="1" applyProtection="1">
      <protection locked="0"/>
    </xf>
    <xf numFmtId="0" fontId="30" fillId="33" borderId="10" xfId="0" applyFont="1" applyFill="1" applyBorder="1" applyProtection="1">
      <protection locked="0"/>
    </xf>
    <xf numFmtId="167" fontId="30" fillId="33" borderId="0" xfId="45" applyNumberFormat="1" applyFont="1" applyFill="1" applyBorder="1" applyProtection="1">
      <protection locked="0"/>
    </xf>
    <xf numFmtId="0" fontId="27" fillId="33" borderId="18" xfId="0" applyFont="1" applyFill="1" applyBorder="1" applyAlignment="1" applyProtection="1">
      <alignment vertical="top" wrapText="1"/>
      <protection locked="0"/>
    </xf>
    <xf numFmtId="0" fontId="30" fillId="33" borderId="18" xfId="0" applyFont="1" applyFill="1" applyBorder="1" applyProtection="1">
      <protection locked="0"/>
    </xf>
    <xf numFmtId="0" fontId="30" fillId="33" borderId="16" xfId="0" applyFont="1" applyFill="1" applyBorder="1" applyProtection="1">
      <protection locked="0"/>
    </xf>
    <xf numFmtId="0" fontId="27" fillId="33" borderId="10" xfId="0" applyFont="1" applyFill="1" applyBorder="1" applyAlignment="1" applyProtection="1">
      <alignment vertical="top"/>
      <protection locked="0"/>
    </xf>
    <xf numFmtId="167" fontId="30" fillId="33" borderId="10" xfId="45" applyNumberFormat="1" applyFont="1" applyFill="1" applyBorder="1" applyProtection="1">
      <protection locked="0"/>
    </xf>
    <xf numFmtId="0" fontId="30" fillId="33" borderId="13" xfId="0" applyFont="1" applyFill="1" applyBorder="1" applyProtection="1">
      <protection locked="0"/>
    </xf>
    <xf numFmtId="0" fontId="42" fillId="33" borderId="16" xfId="0" applyFont="1" applyFill="1" applyBorder="1" applyAlignment="1">
      <alignment horizontal="center" vertical="center" wrapText="1"/>
    </xf>
    <xf numFmtId="0" fontId="42" fillId="33" borderId="10" xfId="0" applyFont="1" applyFill="1" applyBorder="1" applyAlignment="1">
      <alignment vertical="center" wrapText="1"/>
    </xf>
    <xf numFmtId="0" fontId="30" fillId="37" borderId="0" xfId="0" applyFont="1" applyFill="1" applyAlignment="1">
      <alignment horizontal="justify" vertical="center"/>
    </xf>
    <xf numFmtId="167" fontId="30" fillId="37" borderId="0" xfId="45" applyNumberFormat="1" applyFont="1" applyFill="1" applyAlignment="1">
      <alignment horizontal="justify" vertical="center"/>
    </xf>
    <xf numFmtId="167" fontId="31" fillId="38" borderId="0" xfId="45" applyNumberFormat="1" applyFont="1" applyFill="1"/>
    <xf numFmtId="167" fontId="30" fillId="39" borderId="0" xfId="45" applyNumberFormat="1" applyFont="1" applyFill="1"/>
    <xf numFmtId="167" fontId="31" fillId="39" borderId="0" xfId="45" applyNumberFormat="1" applyFont="1" applyFill="1"/>
    <xf numFmtId="167" fontId="27" fillId="36" borderId="0" xfId="45" applyNumberFormat="1" applyFont="1" applyFill="1"/>
    <xf numFmtId="0" fontId="30" fillId="0" borderId="0" xfId="0" applyFont="1" applyAlignment="1">
      <alignment horizontal="right" vertical="center"/>
    </xf>
    <xf numFmtId="3" fontId="26" fillId="33" borderId="0" xfId="0" applyNumberFormat="1" applyFont="1" applyFill="1" applyBorder="1" applyAlignment="1" applyProtection="1">
      <alignment vertical="top"/>
      <protection locked="0"/>
    </xf>
    <xf numFmtId="167" fontId="30" fillId="0" borderId="0" xfId="0" applyNumberFormat="1" applyFont="1"/>
    <xf numFmtId="0" fontId="18" fillId="0" borderId="0" xfId="0" applyFont="1" applyBorder="1" applyAlignment="1">
      <alignment horizontal="center"/>
    </xf>
    <xf numFmtId="0" fontId="27" fillId="33" borderId="19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vertical="top"/>
    </xf>
    <xf numFmtId="0" fontId="25" fillId="33" borderId="10" xfId="0" applyFont="1" applyFill="1" applyBorder="1" applyAlignment="1">
      <alignment vertical="top"/>
    </xf>
    <xf numFmtId="0" fontId="19" fillId="0" borderId="0" xfId="0" applyFont="1" applyBorder="1" applyAlignment="1">
      <alignment horizontal="left"/>
    </xf>
    <xf numFmtId="0" fontId="19" fillId="0" borderId="0" xfId="0" applyFont="1" applyBorder="1"/>
    <xf numFmtId="0" fontId="57" fillId="40" borderId="45" xfId="46" applyFont="1" applyFill="1" applyBorder="1" applyAlignment="1">
      <alignment vertical="center"/>
    </xf>
    <xf numFmtId="0" fontId="57" fillId="40" borderId="46" xfId="46" applyFont="1" applyFill="1" applyBorder="1" applyAlignment="1">
      <alignment vertical="center"/>
    </xf>
    <xf numFmtId="0" fontId="57" fillId="40" borderId="47" xfId="46" applyFont="1" applyFill="1" applyBorder="1" applyAlignment="1">
      <alignment vertical="center"/>
    </xf>
    <xf numFmtId="0" fontId="57" fillId="40" borderId="0" xfId="46" applyFont="1" applyFill="1" applyAlignment="1">
      <alignment vertical="center"/>
    </xf>
    <xf numFmtId="0" fontId="57" fillId="40" borderId="48" xfId="46" applyFont="1" applyFill="1" applyBorder="1" applyAlignment="1">
      <alignment vertical="center"/>
    </xf>
    <xf numFmtId="0" fontId="58" fillId="40" borderId="0" xfId="46" applyFont="1" applyFill="1" applyBorder="1" applyAlignment="1">
      <alignment vertical="center"/>
    </xf>
    <xf numFmtId="0" fontId="57" fillId="40" borderId="0" xfId="46" applyFont="1" applyFill="1" applyBorder="1" applyAlignment="1">
      <alignment vertical="center"/>
    </xf>
    <xf numFmtId="0" fontId="57" fillId="40" borderId="49" xfId="46" applyFont="1" applyFill="1" applyBorder="1" applyAlignment="1">
      <alignment vertical="center"/>
    </xf>
    <xf numFmtId="0" fontId="57" fillId="40" borderId="50" xfId="46" applyFont="1" applyFill="1" applyBorder="1" applyAlignment="1">
      <alignment vertical="center"/>
    </xf>
    <xf numFmtId="0" fontId="57" fillId="40" borderId="51" xfId="46" applyFont="1" applyFill="1" applyBorder="1" applyAlignment="1">
      <alignment vertical="center"/>
    </xf>
    <xf numFmtId="0" fontId="57" fillId="40" borderId="52" xfId="46" applyFont="1" applyFill="1" applyBorder="1" applyAlignment="1">
      <alignment vertical="center"/>
    </xf>
    <xf numFmtId="0" fontId="59" fillId="40" borderId="53" xfId="46" applyFont="1" applyFill="1" applyBorder="1" applyAlignment="1">
      <alignment vertical="center"/>
    </xf>
    <xf numFmtId="0" fontId="24" fillId="40" borderId="54" xfId="46" applyFont="1" applyFill="1" applyBorder="1" applyAlignment="1">
      <alignment vertical="center"/>
    </xf>
    <xf numFmtId="0" fontId="24" fillId="40" borderId="55" xfId="46" applyFont="1" applyFill="1" applyBorder="1" applyAlignment="1">
      <alignment vertical="center"/>
    </xf>
    <xf numFmtId="0" fontId="24" fillId="40" borderId="0" xfId="46" applyFont="1" applyFill="1" applyAlignment="1">
      <alignment vertical="center"/>
    </xf>
    <xf numFmtId="0" fontId="24" fillId="40" borderId="51" xfId="46" applyFont="1" applyFill="1" applyBorder="1" applyAlignment="1">
      <alignment vertical="center"/>
    </xf>
    <xf numFmtId="0" fontId="24" fillId="40" borderId="52" xfId="46" applyFont="1" applyFill="1" applyBorder="1" applyAlignment="1">
      <alignment vertical="center"/>
    </xf>
    <xf numFmtId="0" fontId="59" fillId="40" borderId="56" xfId="46" applyFont="1" applyFill="1" applyBorder="1" applyAlignment="1">
      <alignment horizontal="center" vertical="center"/>
    </xf>
    <xf numFmtId="0" fontId="59" fillId="40" borderId="56" xfId="46" applyFont="1" applyFill="1" applyBorder="1" applyAlignment="1">
      <alignment horizontal="center" vertical="center" wrapText="1"/>
    </xf>
    <xf numFmtId="0" fontId="24" fillId="40" borderId="0" xfId="46" applyFont="1" applyFill="1" applyBorder="1" applyAlignment="1">
      <alignment vertical="center" wrapText="1"/>
    </xf>
    <xf numFmtId="4" fontId="24" fillId="40" borderId="0" xfId="46" applyNumberFormat="1" applyFont="1" applyFill="1" applyBorder="1" applyAlignment="1">
      <alignment vertical="center" wrapText="1"/>
    </xf>
    <xf numFmtId="0" fontId="57" fillId="40" borderId="0" xfId="46" applyFont="1" applyFill="1" applyAlignment="1">
      <alignment vertical="center" wrapText="1"/>
    </xf>
    <xf numFmtId="0" fontId="46" fillId="0" borderId="57" xfId="46" applyFont="1" applyFill="1" applyBorder="1" applyAlignment="1">
      <alignment horizontal="center" vertical="center"/>
    </xf>
    <xf numFmtId="4" fontId="24" fillId="40" borderId="56" xfId="46" applyNumberFormat="1" applyFont="1" applyFill="1" applyBorder="1" applyAlignment="1">
      <alignment horizontal="right" vertical="center" wrapText="1"/>
    </xf>
    <xf numFmtId="4" fontId="24" fillId="40" borderId="56" xfId="44" applyNumberFormat="1" applyFont="1" applyFill="1" applyBorder="1" applyAlignment="1">
      <alignment horizontal="right" vertical="center" wrapText="1"/>
    </xf>
    <xf numFmtId="0" fontId="46" fillId="0" borderId="53" xfId="46" applyFont="1" applyFill="1" applyBorder="1" applyAlignment="1">
      <alignment vertical="center"/>
    </xf>
    <xf numFmtId="0" fontId="46" fillId="0" borderId="53" xfId="46" applyFont="1" applyFill="1" applyBorder="1" applyAlignment="1">
      <alignment horizontal="center" vertical="center"/>
    </xf>
    <xf numFmtId="0" fontId="46" fillId="0" borderId="48" xfId="46" applyFont="1" applyFill="1" applyBorder="1" applyAlignment="1">
      <alignment horizontal="center" vertical="center"/>
    </xf>
    <xf numFmtId="168" fontId="24" fillId="40" borderId="56" xfId="44" applyNumberFormat="1" applyFont="1" applyFill="1" applyBorder="1" applyAlignment="1">
      <alignment horizontal="right" vertical="center" wrapText="1"/>
    </xf>
    <xf numFmtId="0" fontId="59" fillId="40" borderId="0" xfId="46" applyFont="1" applyFill="1" applyBorder="1" applyAlignment="1">
      <alignment horizontal="center" vertical="justify" wrapText="1"/>
    </xf>
    <xf numFmtId="43" fontId="24" fillId="40" borderId="0" xfId="46" applyNumberFormat="1" applyFont="1" applyFill="1" applyBorder="1" applyAlignment="1">
      <alignment horizontal="justify" vertical="center" wrapText="1"/>
    </xf>
    <xf numFmtId="168" fontId="24" fillId="40" borderId="0" xfId="44" applyNumberFormat="1" applyFont="1" applyFill="1" applyBorder="1" applyAlignment="1">
      <alignment horizontal="right" vertical="center" wrapText="1"/>
    </xf>
    <xf numFmtId="0" fontId="24" fillId="40" borderId="0" xfId="46" applyFont="1" applyFill="1" applyAlignment="1">
      <alignment vertical="center" wrapText="1"/>
    </xf>
    <xf numFmtId="0" fontId="24" fillId="40" borderId="0" xfId="46" applyFont="1" applyFill="1" applyBorder="1" applyAlignment="1">
      <alignment horizontal="justify" vertical="center" wrapText="1"/>
    </xf>
    <xf numFmtId="0" fontId="57" fillId="40" borderId="0" xfId="46" applyFont="1" applyFill="1" applyBorder="1" applyAlignment="1">
      <alignment vertical="center" wrapText="1"/>
    </xf>
    <xf numFmtId="0" fontId="58" fillId="40" borderId="53" xfId="46" applyFont="1" applyFill="1" applyBorder="1" applyAlignment="1">
      <alignment vertical="center"/>
    </xf>
    <xf numFmtId="0" fontId="57" fillId="40" borderId="54" xfId="46" applyFont="1" applyFill="1" applyBorder="1" applyAlignment="1">
      <alignment vertical="center"/>
    </xf>
    <xf numFmtId="0" fontId="57" fillId="40" borderId="55" xfId="46" applyFont="1" applyFill="1" applyBorder="1" applyAlignment="1">
      <alignment vertical="center"/>
    </xf>
    <xf numFmtId="49" fontId="58" fillId="40" borderId="53" xfId="46" applyNumberFormat="1" applyFont="1" applyFill="1" applyBorder="1" applyAlignment="1">
      <alignment vertical="center"/>
    </xf>
    <xf numFmtId="0" fontId="58" fillId="40" borderId="56" xfId="46" applyFont="1" applyFill="1" applyBorder="1" applyAlignment="1">
      <alignment horizontal="center" vertical="center"/>
    </xf>
    <xf numFmtId="0" fontId="58" fillId="40" borderId="56" xfId="46" applyFont="1" applyFill="1" applyBorder="1" applyAlignment="1">
      <alignment horizontal="center" vertical="center" wrapText="1"/>
    </xf>
    <xf numFmtId="4" fontId="57" fillId="40" borderId="0" xfId="46" applyNumberFormat="1" applyFont="1" applyFill="1" applyBorder="1" applyAlignment="1">
      <alignment vertical="center" wrapText="1"/>
    </xf>
    <xf numFmtId="4" fontId="58" fillId="40" borderId="0" xfId="46" applyNumberFormat="1" applyFont="1" applyFill="1" applyBorder="1" applyAlignment="1">
      <alignment vertical="center" wrapText="1"/>
    </xf>
    <xf numFmtId="0" fontId="45" fillId="0" borderId="58" xfId="46" applyFont="1" applyFill="1" applyBorder="1" applyAlignment="1">
      <alignment horizontal="center" vertical="center"/>
    </xf>
    <xf numFmtId="4" fontId="57" fillId="40" borderId="56" xfId="46" applyNumberFormat="1" applyFont="1" applyFill="1" applyBorder="1" applyAlignment="1">
      <alignment horizontal="right" vertical="center" wrapText="1"/>
    </xf>
    <xf numFmtId="4" fontId="57" fillId="40" borderId="56" xfId="52" applyNumberFormat="1" applyFont="1" applyFill="1" applyBorder="1" applyAlignment="1">
      <alignment horizontal="right" vertical="center" wrapText="1"/>
    </xf>
    <xf numFmtId="0" fontId="45" fillId="0" borderId="0" xfId="46" applyFont="1" applyFill="1" applyBorder="1" applyAlignment="1">
      <alignment horizontal="center" vertical="center"/>
    </xf>
    <xf numFmtId="0" fontId="60" fillId="0" borderId="0" xfId="46" applyFont="1" applyFill="1" applyBorder="1" applyAlignment="1">
      <alignment horizontal="justify" vertical="center"/>
    </xf>
    <xf numFmtId="0" fontId="60" fillId="0" borderId="49" xfId="46" applyFont="1" applyFill="1" applyBorder="1" applyAlignment="1">
      <alignment horizontal="justify" vertical="center"/>
    </xf>
    <xf numFmtId="4" fontId="58" fillId="40" borderId="56" xfId="52" applyNumberFormat="1" applyFont="1" applyFill="1" applyBorder="1" applyAlignment="1">
      <alignment horizontal="right" vertical="center" wrapText="1"/>
    </xf>
    <xf numFmtId="0" fontId="45" fillId="0" borderId="0" xfId="46" applyNumberFormat="1" applyFont="1" applyFill="1" applyBorder="1" applyAlignment="1">
      <alignment horizontal="center" vertical="center" wrapText="1"/>
    </xf>
    <xf numFmtId="0" fontId="60" fillId="0" borderId="0" xfId="46" applyFont="1" applyFill="1" applyBorder="1" applyAlignment="1">
      <alignment horizontal="justify" vertical="center" wrapText="1"/>
    </xf>
    <xf numFmtId="0" fontId="60" fillId="0" borderId="49" xfId="46" applyFont="1" applyFill="1" applyBorder="1" applyAlignment="1">
      <alignment horizontal="justify" vertical="center" wrapText="1"/>
    </xf>
    <xf numFmtId="0" fontId="45" fillId="0" borderId="50" xfId="46" applyNumberFormat="1" applyFont="1" applyFill="1" applyBorder="1" applyAlignment="1">
      <alignment horizontal="center" vertical="center" wrapText="1"/>
    </xf>
    <xf numFmtId="43" fontId="57" fillId="40" borderId="0" xfId="52" applyFont="1" applyFill="1" applyBorder="1" applyAlignment="1">
      <alignment vertical="center" wrapText="1"/>
    </xf>
    <xf numFmtId="168" fontId="57" fillId="40" borderId="56" xfId="52" applyNumberFormat="1" applyFont="1" applyFill="1" applyBorder="1" applyAlignment="1">
      <alignment horizontal="right" vertical="center" wrapText="1"/>
    </xf>
    <xf numFmtId="0" fontId="58" fillId="40" borderId="0" xfId="46" applyFont="1" applyFill="1" applyBorder="1" applyAlignment="1">
      <alignment horizontal="center" vertical="justify" wrapText="1"/>
    </xf>
    <xf numFmtId="43" fontId="57" fillId="40" borderId="0" xfId="46" applyNumberFormat="1" applyFont="1" applyFill="1" applyBorder="1" applyAlignment="1">
      <alignment horizontal="justify" vertical="center" wrapText="1"/>
    </xf>
    <xf numFmtId="168" fontId="57" fillId="40" borderId="0" xfId="52" applyNumberFormat="1" applyFont="1" applyFill="1" applyBorder="1" applyAlignment="1">
      <alignment horizontal="right" vertical="center" wrapText="1"/>
    </xf>
    <xf numFmtId="0" fontId="57" fillId="40" borderId="0" xfId="46" applyFont="1" applyFill="1" applyBorder="1" applyAlignment="1">
      <alignment horizontal="justify" vertical="center" wrapText="1"/>
    </xf>
    <xf numFmtId="1" fontId="25" fillId="33" borderId="21" xfId="0" applyNumberFormat="1" applyFont="1" applyFill="1" applyBorder="1" applyAlignment="1">
      <alignment horizontal="right" vertical="center" wrapText="1"/>
    </xf>
    <xf numFmtId="1" fontId="19" fillId="33" borderId="21" xfId="0" applyNumberFormat="1" applyFont="1" applyFill="1" applyBorder="1" applyAlignment="1">
      <alignment horizontal="right" vertical="center" wrapText="1"/>
    </xf>
    <xf numFmtId="1" fontId="19" fillId="33" borderId="22" xfId="0" applyNumberFormat="1" applyFont="1" applyFill="1" applyBorder="1" applyAlignment="1">
      <alignment horizontal="right" vertical="center" wrapText="1"/>
    </xf>
    <xf numFmtId="3" fontId="19" fillId="33" borderId="21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3" fontId="19" fillId="33" borderId="19" xfId="0" applyNumberFormat="1" applyFont="1" applyFill="1" applyBorder="1" applyAlignment="1">
      <alignment horizontal="right" vertical="center" wrapText="1"/>
    </xf>
    <xf numFmtId="167" fontId="42" fillId="33" borderId="21" xfId="45" applyNumberFormat="1" applyFont="1" applyFill="1" applyBorder="1" applyAlignment="1">
      <alignment vertical="center" wrapText="1"/>
    </xf>
    <xf numFmtId="167" fontId="47" fillId="33" borderId="21" xfId="45" applyNumberFormat="1" applyFont="1" applyFill="1" applyBorder="1" applyAlignment="1">
      <alignment vertical="center" wrapText="1"/>
    </xf>
    <xf numFmtId="167" fontId="19" fillId="33" borderId="21" xfId="45" applyNumberFormat="1" applyFont="1" applyFill="1" applyBorder="1" applyAlignment="1">
      <alignment horizontal="right" vertical="top" wrapText="1"/>
    </xf>
    <xf numFmtId="167" fontId="19" fillId="33" borderId="21" xfId="45" applyNumberFormat="1" applyFont="1" applyFill="1" applyBorder="1" applyAlignment="1">
      <alignment horizontal="right" vertical="center" wrapText="1"/>
    </xf>
    <xf numFmtId="167" fontId="25" fillId="33" borderId="22" xfId="45" applyNumberFormat="1" applyFont="1" applyFill="1" applyBorder="1" applyAlignment="1">
      <alignment horizontal="right" vertical="center" wrapText="1"/>
    </xf>
    <xf numFmtId="167" fontId="25" fillId="33" borderId="21" xfId="45" applyNumberFormat="1" applyFont="1" applyFill="1" applyBorder="1" applyAlignment="1">
      <alignment horizontal="right" vertical="center" wrapText="1"/>
    </xf>
    <xf numFmtId="167" fontId="25" fillId="33" borderId="21" xfId="45" applyNumberFormat="1" applyFont="1" applyFill="1" applyBorder="1" applyAlignment="1">
      <alignment horizontal="right" vertical="top" wrapText="1"/>
    </xf>
    <xf numFmtId="167" fontId="19" fillId="33" borderId="21" xfId="45" applyNumberFormat="1" applyFont="1" applyFill="1" applyBorder="1" applyAlignment="1">
      <alignment horizontal="right" vertical="top"/>
    </xf>
    <xf numFmtId="167" fontId="25" fillId="33" borderId="18" xfId="45" applyNumberFormat="1" applyFont="1" applyFill="1" applyBorder="1" applyAlignment="1">
      <alignment horizontal="right" vertical="center" wrapText="1"/>
    </xf>
    <xf numFmtId="167" fontId="19" fillId="33" borderId="18" xfId="45" applyNumberFormat="1" applyFont="1" applyFill="1" applyBorder="1" applyAlignment="1">
      <alignment horizontal="right" vertical="center" wrapText="1"/>
    </xf>
    <xf numFmtId="167" fontId="25" fillId="33" borderId="19" xfId="45" applyNumberFormat="1" applyFont="1" applyFill="1" applyBorder="1" applyAlignment="1">
      <alignment horizontal="right" vertical="top"/>
    </xf>
    <xf numFmtId="167" fontId="25" fillId="33" borderId="19" xfId="45" applyNumberFormat="1" applyFont="1" applyFill="1" applyBorder="1" applyAlignment="1">
      <alignment vertical="center" wrapText="1"/>
    </xf>
    <xf numFmtId="167" fontId="25" fillId="33" borderId="22" xfId="45" applyNumberFormat="1" applyFont="1" applyFill="1" applyBorder="1" applyAlignment="1">
      <alignment horizontal="right" vertical="top" wrapText="1"/>
    </xf>
    <xf numFmtId="167" fontId="19" fillId="33" borderId="28" xfId="45" applyNumberFormat="1" applyFont="1" applyFill="1" applyBorder="1" applyAlignment="1">
      <alignment horizontal="right" vertical="center" wrapText="1"/>
    </xf>
    <xf numFmtId="167" fontId="19" fillId="33" borderId="22" xfId="45" applyNumberFormat="1" applyFont="1" applyFill="1" applyBorder="1" applyAlignment="1">
      <alignment horizontal="right" vertical="center" wrapText="1"/>
    </xf>
    <xf numFmtId="0" fontId="62" fillId="33" borderId="0" xfId="0" applyFont="1" applyFill="1"/>
    <xf numFmtId="0" fontId="62" fillId="0" borderId="0" xfId="0" applyFont="1"/>
    <xf numFmtId="0" fontId="31" fillId="33" borderId="21" xfId="0" applyFont="1" applyFill="1" applyBorder="1" applyProtection="1">
      <protection locked="0"/>
    </xf>
    <xf numFmtId="167" fontId="31" fillId="33" borderId="0" xfId="45" applyNumberFormat="1" applyFont="1" applyFill="1" applyBorder="1" applyProtection="1">
      <protection locked="0"/>
    </xf>
    <xf numFmtId="0" fontId="22" fillId="0" borderId="16" xfId="0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0" borderId="18" xfId="0" applyFont="1" applyBorder="1" applyAlignment="1">
      <alignment horizontal="center" wrapText="1"/>
    </xf>
    <xf numFmtId="0" fontId="30" fillId="33" borderId="0" xfId="0" applyFont="1" applyFill="1" applyBorder="1" applyAlignment="1" applyProtection="1">
      <alignment horizontal="center"/>
      <protection locked="0"/>
    </xf>
    <xf numFmtId="0" fontId="30" fillId="33" borderId="11" xfId="0" applyFont="1" applyFill="1" applyBorder="1" applyAlignment="1" applyProtection="1">
      <alignment horizontal="center"/>
      <protection locked="0"/>
    </xf>
    <xf numFmtId="0" fontId="27" fillId="33" borderId="0" xfId="0" applyFont="1" applyFill="1" applyBorder="1" applyAlignment="1" applyProtection="1">
      <alignment horizontal="center" vertical="top" wrapText="1"/>
      <protection locked="0"/>
    </xf>
    <xf numFmtId="0" fontId="27" fillId="33" borderId="0" xfId="0" applyFont="1" applyFill="1" applyBorder="1" applyAlignment="1" applyProtection="1">
      <alignment horizontal="left" vertical="top" indent="2"/>
    </xf>
    <xf numFmtId="0" fontId="27" fillId="33" borderId="10" xfId="0" applyFont="1" applyFill="1" applyBorder="1" applyAlignment="1" applyProtection="1">
      <alignment horizontal="center"/>
    </xf>
    <xf numFmtId="0" fontId="29" fillId="33" borderId="10" xfId="0" applyFont="1" applyFill="1" applyBorder="1" applyAlignment="1">
      <alignment vertical="top" wrapText="1"/>
    </xf>
    <xf numFmtId="0" fontId="27" fillId="33" borderId="0" xfId="0" applyFont="1" applyFill="1" applyBorder="1" applyAlignment="1">
      <alignment horizontal="left" vertical="top" wrapText="1"/>
    </xf>
    <xf numFmtId="0" fontId="26" fillId="33" borderId="0" xfId="0" applyFont="1" applyFill="1" applyBorder="1" applyAlignment="1">
      <alignment horizontal="left" vertical="top" wrapText="1"/>
    </xf>
    <xf numFmtId="0" fontId="29" fillId="33" borderId="0" xfId="0" applyFont="1" applyFill="1" applyBorder="1" applyAlignment="1">
      <alignment horizontal="left" vertical="top" wrapText="1"/>
    </xf>
    <xf numFmtId="0" fontId="26" fillId="33" borderId="0" xfId="0" applyFont="1" applyFill="1" applyBorder="1" applyAlignment="1">
      <alignment vertical="top" wrapText="1"/>
    </xf>
    <xf numFmtId="0" fontId="27" fillId="33" borderId="17" xfId="0" applyFont="1" applyFill="1" applyBorder="1" applyAlignment="1">
      <alignment horizontal="left" vertical="top" wrapText="1" indent="2"/>
    </xf>
    <xf numFmtId="0" fontId="27" fillId="33" borderId="0" xfId="0" applyFont="1" applyFill="1" applyBorder="1" applyAlignment="1">
      <alignment horizontal="left" vertical="top" wrapText="1" indent="2"/>
    </xf>
    <xf numFmtId="0" fontId="29" fillId="33" borderId="17" xfId="0" applyFont="1" applyFill="1" applyBorder="1" applyAlignment="1">
      <alignment horizontal="left" vertical="top" wrapText="1" indent="2"/>
    </xf>
    <xf numFmtId="0" fontId="29" fillId="33" borderId="0" xfId="0" applyFont="1" applyFill="1" applyBorder="1" applyAlignment="1">
      <alignment horizontal="left" vertical="top" wrapText="1" indent="2"/>
    </xf>
    <xf numFmtId="0" fontId="26" fillId="33" borderId="17" xfId="0" applyFont="1" applyFill="1" applyBorder="1" applyAlignment="1">
      <alignment horizontal="left" vertical="top" wrapText="1" indent="2"/>
    </xf>
    <xf numFmtId="0" fontId="26" fillId="33" borderId="0" xfId="0" applyFont="1" applyFill="1" applyBorder="1" applyAlignment="1">
      <alignment horizontal="left" vertical="top" wrapText="1" indent="2"/>
    </xf>
    <xf numFmtId="0" fontId="29" fillId="33" borderId="10" xfId="0" applyFont="1" applyFill="1" applyBorder="1" applyAlignment="1" applyProtection="1">
      <alignment horizontal="left" vertical="top" wrapText="1"/>
    </xf>
    <xf numFmtId="0" fontId="29" fillId="33" borderId="0" xfId="0" applyFont="1" applyFill="1" applyBorder="1" applyAlignment="1" applyProtection="1">
      <alignment horizontal="left" vertical="top" wrapText="1"/>
    </xf>
    <xf numFmtId="0" fontId="27" fillId="33" borderId="0" xfId="0" applyFont="1" applyFill="1" applyBorder="1" applyAlignment="1" applyProtection="1">
      <alignment horizontal="left" vertical="top" wrapText="1"/>
    </xf>
    <xf numFmtId="0" fontId="26" fillId="33" borderId="0" xfId="0" applyFont="1" applyFill="1" applyBorder="1" applyAlignment="1" applyProtection="1">
      <alignment horizontal="left" vertical="top" wrapText="1"/>
    </xf>
    <xf numFmtId="0" fontId="27" fillId="33" borderId="17" xfId="0" applyFont="1" applyFill="1" applyBorder="1" applyAlignment="1" applyProtection="1">
      <alignment horizontal="left" vertical="top" wrapText="1"/>
    </xf>
    <xf numFmtId="0" fontId="29" fillId="33" borderId="17" xfId="0" applyFont="1" applyFill="1" applyBorder="1" applyAlignment="1" applyProtection="1">
      <alignment horizontal="left" vertical="top" wrapText="1"/>
    </xf>
    <xf numFmtId="0" fontId="27" fillId="33" borderId="11" xfId="0" applyFont="1" applyFill="1" applyBorder="1" applyAlignment="1" applyProtection="1">
      <alignment horizontal="left" vertical="top" indent="2"/>
    </xf>
    <xf numFmtId="0" fontId="20" fillId="34" borderId="0" xfId="0" applyFont="1" applyFill="1" applyAlignment="1">
      <alignment horizontal="left" wrapText="1"/>
    </xf>
    <xf numFmtId="0" fontId="20" fillId="0" borderId="0" xfId="0" applyFont="1" applyAlignment="1">
      <alignment horizontal="left" wrapText="1"/>
    </xf>
    <xf numFmtId="0" fontId="27" fillId="33" borderId="10" xfId="0" applyFont="1" applyFill="1" applyBorder="1" applyAlignment="1" applyProtection="1">
      <alignment horizontal="center" vertical="center"/>
    </xf>
    <xf numFmtId="0" fontId="27" fillId="33" borderId="0" xfId="0" applyFont="1" applyFill="1" applyBorder="1" applyAlignment="1" applyProtection="1">
      <alignment horizontal="left" vertical="top"/>
    </xf>
    <xf numFmtId="0" fontId="26" fillId="33" borderId="17" xfId="0" applyFont="1" applyFill="1" applyBorder="1" applyAlignment="1" applyProtection="1">
      <alignment horizontal="left" vertical="top" indent="2"/>
    </xf>
    <xf numFmtId="0" fontId="26" fillId="33" borderId="0" xfId="0" applyFont="1" applyFill="1" applyBorder="1" applyAlignment="1" applyProtection="1">
      <alignment horizontal="left" vertical="top" indent="2"/>
    </xf>
    <xf numFmtId="0" fontId="29" fillId="33" borderId="17" xfId="0" applyFont="1" applyFill="1" applyBorder="1" applyAlignment="1" applyProtection="1">
      <alignment horizontal="left" vertical="top"/>
    </xf>
    <xf numFmtId="0" fontId="29" fillId="33" borderId="0" xfId="0" applyFont="1" applyFill="1" applyBorder="1" applyAlignment="1" applyProtection="1">
      <alignment horizontal="left" vertical="top"/>
    </xf>
    <xf numFmtId="0" fontId="26" fillId="33" borderId="17" xfId="0" applyFont="1" applyFill="1" applyBorder="1" applyAlignment="1" applyProtection="1">
      <alignment horizontal="center" vertical="top"/>
    </xf>
    <xf numFmtId="0" fontId="26" fillId="33" borderId="0" xfId="0" applyFont="1" applyFill="1" applyBorder="1" applyAlignment="1" applyProtection="1">
      <alignment horizontal="center" vertical="top"/>
    </xf>
    <xf numFmtId="0" fontId="33" fillId="35" borderId="16" xfId="0" applyFont="1" applyFill="1" applyBorder="1" applyAlignment="1">
      <alignment horizontal="center" vertical="center" wrapText="1"/>
    </xf>
    <xf numFmtId="0" fontId="33" fillId="35" borderId="1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wrapText="1"/>
    </xf>
    <xf numFmtId="0" fontId="40" fillId="36" borderId="15" xfId="0" applyFont="1" applyFill="1" applyBorder="1" applyAlignment="1">
      <alignment horizontal="center"/>
    </xf>
    <xf numFmtId="0" fontId="40" fillId="36" borderId="11" xfId="0" applyFont="1" applyFill="1" applyBorder="1" applyAlignment="1">
      <alignment horizontal="center"/>
    </xf>
    <xf numFmtId="0" fontId="40" fillId="36" borderId="12" xfId="0" applyFont="1" applyFill="1" applyBorder="1" applyAlignment="1">
      <alignment horizontal="center"/>
    </xf>
    <xf numFmtId="0" fontId="40" fillId="36" borderId="17" xfId="0" applyFont="1" applyFill="1" applyBorder="1" applyAlignment="1">
      <alignment horizontal="center"/>
    </xf>
    <xf numFmtId="0" fontId="40" fillId="36" borderId="0" xfId="0" applyFont="1" applyFill="1" applyBorder="1" applyAlignment="1">
      <alignment horizontal="center"/>
    </xf>
    <xf numFmtId="0" fontId="40" fillId="36" borderId="18" xfId="0" applyFont="1" applyFill="1" applyBorder="1" applyAlignment="1">
      <alignment horizontal="center"/>
    </xf>
    <xf numFmtId="0" fontId="40" fillId="36" borderId="16" xfId="0" applyFont="1" applyFill="1" applyBorder="1" applyAlignment="1">
      <alignment horizontal="center"/>
    </xf>
    <xf numFmtId="0" fontId="40" fillId="36" borderId="10" xfId="0" applyFont="1" applyFill="1" applyBorder="1" applyAlignment="1">
      <alignment horizontal="center"/>
    </xf>
    <xf numFmtId="0" fontId="40" fillId="36" borderId="13" xfId="0" applyFont="1" applyFill="1" applyBorder="1" applyAlignment="1">
      <alignment horizontal="center"/>
    </xf>
    <xf numFmtId="37" fontId="40" fillId="36" borderId="19" xfId="50" applyNumberFormat="1" applyFont="1" applyFill="1" applyBorder="1" applyAlignment="1">
      <alignment horizontal="center" vertical="center"/>
    </xf>
    <xf numFmtId="37" fontId="40" fillId="36" borderId="19" xfId="50" applyNumberFormat="1" applyFont="1" applyFill="1" applyBorder="1" applyAlignment="1">
      <alignment horizontal="center" vertical="center" wrapText="1"/>
    </xf>
    <xf numFmtId="0" fontId="42" fillId="33" borderId="17" xfId="0" applyFont="1" applyFill="1" applyBorder="1" applyAlignment="1">
      <alignment horizontal="left" vertical="center" wrapText="1"/>
    </xf>
    <xf numFmtId="0" fontId="42" fillId="33" borderId="0" xfId="0" applyFont="1" applyFill="1" applyBorder="1" applyAlignment="1">
      <alignment horizontal="left" vertical="center" wrapText="1"/>
    </xf>
    <xf numFmtId="0" fontId="42" fillId="33" borderId="18" xfId="0" applyFont="1" applyFill="1" applyBorder="1" applyAlignment="1">
      <alignment horizontal="left" vertical="center" wrapText="1"/>
    </xf>
    <xf numFmtId="167" fontId="42" fillId="33" borderId="20" xfId="45" applyNumberFormat="1" applyFont="1" applyFill="1" applyBorder="1" applyAlignment="1">
      <alignment horizontal="right" vertical="center" wrapText="1"/>
    </xf>
    <xf numFmtId="167" fontId="42" fillId="33" borderId="22" xfId="45" applyNumberFormat="1" applyFont="1" applyFill="1" applyBorder="1" applyAlignment="1">
      <alignment horizontal="right" vertical="center" wrapText="1"/>
    </xf>
    <xf numFmtId="0" fontId="46" fillId="0" borderId="23" xfId="0" applyFont="1" applyBorder="1" applyAlignment="1">
      <alignment horizontal="center" vertical="top" wrapText="1"/>
    </xf>
    <xf numFmtId="0" fontId="46" fillId="0" borderId="25" xfId="0" applyFont="1" applyBorder="1" applyAlignment="1">
      <alignment horizontal="center" vertical="top" wrapText="1"/>
    </xf>
    <xf numFmtId="0" fontId="45" fillId="33" borderId="0" xfId="0" applyFont="1" applyFill="1" applyAlignment="1">
      <alignment horizontal="left" vertical="top" wrapText="1"/>
    </xf>
    <xf numFmtId="167" fontId="43" fillId="33" borderId="20" xfId="50" applyNumberFormat="1" applyFont="1" applyFill="1" applyBorder="1" applyAlignment="1">
      <alignment horizontal="center"/>
    </xf>
    <xf numFmtId="167" fontId="43" fillId="33" borderId="22" xfId="50" applyNumberFormat="1" applyFont="1" applyFill="1" applyBorder="1" applyAlignment="1">
      <alignment horizontal="center"/>
    </xf>
    <xf numFmtId="0" fontId="40" fillId="36" borderId="19" xfId="0" applyFont="1" applyFill="1" applyBorder="1" applyAlignment="1">
      <alignment horizontal="center" vertical="center"/>
    </xf>
    <xf numFmtId="0" fontId="40" fillId="36" borderId="19" xfId="0" applyFont="1" applyFill="1" applyBorder="1" applyAlignment="1">
      <alignment horizontal="center" vertical="center" wrapText="1"/>
    </xf>
    <xf numFmtId="0" fontId="40" fillId="36" borderId="15" xfId="0" applyFont="1" applyFill="1" applyBorder="1" applyAlignment="1">
      <alignment horizontal="center" vertical="center"/>
    </xf>
    <xf numFmtId="0" fontId="40" fillId="36" borderId="12" xfId="0" applyFont="1" applyFill="1" applyBorder="1" applyAlignment="1">
      <alignment horizontal="center" vertical="center"/>
    </xf>
    <xf numFmtId="0" fontId="40" fillId="36" borderId="17" xfId="0" applyFont="1" applyFill="1" applyBorder="1" applyAlignment="1">
      <alignment horizontal="center" vertical="center"/>
    </xf>
    <xf numFmtId="0" fontId="40" fillId="36" borderId="18" xfId="0" applyFont="1" applyFill="1" applyBorder="1" applyAlignment="1">
      <alignment horizontal="center" vertical="center"/>
    </xf>
    <xf numFmtId="0" fontId="40" fillId="36" borderId="16" xfId="0" applyFont="1" applyFill="1" applyBorder="1" applyAlignment="1">
      <alignment horizontal="center" vertical="center"/>
    </xf>
    <xf numFmtId="0" fontId="40" fillId="36" borderId="13" xfId="0" applyFont="1" applyFill="1" applyBorder="1" applyAlignment="1">
      <alignment horizontal="center" vertical="center"/>
    </xf>
    <xf numFmtId="0" fontId="47" fillId="33" borderId="17" xfId="0" applyFont="1" applyFill="1" applyBorder="1" applyAlignment="1">
      <alignment horizontal="left" vertical="center" wrapText="1"/>
    </xf>
    <xf numFmtId="0" fontId="47" fillId="33" borderId="0" xfId="0" applyFont="1" applyFill="1" applyBorder="1" applyAlignment="1">
      <alignment horizontal="left" vertical="center" wrapText="1"/>
    </xf>
    <xf numFmtId="0" fontId="25" fillId="33" borderId="17" xfId="0" applyFont="1" applyFill="1" applyBorder="1" applyAlignment="1">
      <alignment horizontal="left" vertical="top" wrapText="1"/>
    </xf>
    <xf numFmtId="0" fontId="25" fillId="33" borderId="18" xfId="0" applyFont="1" applyFill="1" applyBorder="1" applyAlignment="1">
      <alignment horizontal="left" vertical="top" wrapText="1"/>
    </xf>
    <xf numFmtId="0" fontId="40" fillId="36" borderId="19" xfId="46" applyFont="1" applyFill="1" applyBorder="1" applyAlignment="1">
      <alignment horizontal="center"/>
    </xf>
    <xf numFmtId="0" fontId="19" fillId="33" borderId="19" xfId="0" applyFont="1" applyFill="1" applyBorder="1" applyAlignment="1">
      <alignment horizontal="center"/>
    </xf>
    <xf numFmtId="0" fontId="19" fillId="33" borderId="19" xfId="0" applyFont="1" applyFill="1" applyBorder="1" applyAlignment="1">
      <alignment horizontal="right"/>
    </xf>
    <xf numFmtId="0" fontId="19" fillId="33" borderId="23" xfId="0" applyFont="1" applyFill="1" applyBorder="1" applyAlignment="1">
      <alignment horizontal="right"/>
    </xf>
    <xf numFmtId="0" fontId="19" fillId="33" borderId="25" xfId="0" applyFont="1" applyFill="1" applyBorder="1" applyAlignment="1">
      <alignment horizontal="right"/>
    </xf>
    <xf numFmtId="0" fontId="19" fillId="33" borderId="23" xfId="0" applyFont="1" applyFill="1" applyBorder="1" applyAlignment="1">
      <alignment horizontal="center"/>
    </xf>
    <xf numFmtId="0" fontId="19" fillId="33" borderId="25" xfId="0" applyFont="1" applyFill="1" applyBorder="1" applyAlignment="1">
      <alignment horizontal="center"/>
    </xf>
    <xf numFmtId="0" fontId="40" fillId="36" borderId="23" xfId="0" applyFont="1" applyFill="1" applyBorder="1" applyAlignment="1">
      <alignment horizontal="center"/>
    </xf>
    <xf numFmtId="0" fontId="40" fillId="36" borderId="24" xfId="0" applyFont="1" applyFill="1" applyBorder="1" applyAlignment="1">
      <alignment horizontal="center"/>
    </xf>
    <xf numFmtId="0" fontId="40" fillId="36" borderId="25" xfId="0" applyFont="1" applyFill="1" applyBorder="1" applyAlignment="1">
      <alignment horizontal="center"/>
    </xf>
    <xf numFmtId="0" fontId="19" fillId="33" borderId="0" xfId="0" applyFont="1" applyFill="1" applyBorder="1" applyAlignment="1">
      <alignment horizontal="justify" vertical="center" wrapText="1"/>
    </xf>
    <xf numFmtId="0" fontId="19" fillId="33" borderId="18" xfId="0" applyFont="1" applyFill="1" applyBorder="1" applyAlignment="1">
      <alignment horizontal="justify" vertical="center" wrapText="1"/>
    </xf>
    <xf numFmtId="0" fontId="40" fillId="36" borderId="11" xfId="0" applyFont="1" applyFill="1" applyBorder="1" applyAlignment="1">
      <alignment horizontal="center" vertical="center"/>
    </xf>
    <xf numFmtId="0" fontId="40" fillId="36" borderId="0" xfId="0" applyFont="1" applyFill="1" applyBorder="1" applyAlignment="1">
      <alignment horizontal="center" vertical="center"/>
    </xf>
    <xf numFmtId="0" fontId="40" fillId="36" borderId="10" xfId="0" applyFont="1" applyFill="1" applyBorder="1" applyAlignment="1">
      <alignment horizontal="center" vertical="center"/>
    </xf>
    <xf numFmtId="0" fontId="19" fillId="33" borderId="17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left" vertical="center" wrapText="1"/>
    </xf>
    <xf numFmtId="0" fontId="19" fillId="33" borderId="18" xfId="0" applyFont="1" applyFill="1" applyBorder="1" applyAlignment="1">
      <alignment horizontal="left" vertical="center" wrapText="1"/>
    </xf>
    <xf numFmtId="0" fontId="25" fillId="33" borderId="24" xfId="0" applyFont="1" applyFill="1" applyBorder="1" applyAlignment="1">
      <alignment horizontal="left" vertical="center" wrapText="1" indent="3"/>
    </xf>
    <xf numFmtId="0" fontId="25" fillId="33" borderId="25" xfId="0" applyFont="1" applyFill="1" applyBorder="1" applyAlignment="1">
      <alignment horizontal="left" vertical="center" wrapText="1" indent="3"/>
    </xf>
    <xf numFmtId="0" fontId="19" fillId="33" borderId="16" xfId="0" applyFont="1" applyFill="1" applyBorder="1" applyAlignment="1">
      <alignment horizontal="left" vertical="center" wrapText="1"/>
    </xf>
    <xf numFmtId="0" fontId="19" fillId="33" borderId="13" xfId="0" applyFont="1" applyFill="1" applyBorder="1" applyAlignment="1">
      <alignment horizontal="left" vertical="center" wrapText="1"/>
    </xf>
    <xf numFmtId="0" fontId="19" fillId="33" borderId="23" xfId="0" applyFont="1" applyFill="1" applyBorder="1" applyAlignment="1">
      <alignment horizontal="left" vertical="center" wrapText="1"/>
    </xf>
    <xf numFmtId="0" fontId="19" fillId="33" borderId="25" xfId="0" applyFont="1" applyFill="1" applyBorder="1" applyAlignment="1">
      <alignment horizontal="left" vertical="center" wrapText="1"/>
    </xf>
    <xf numFmtId="0" fontId="19" fillId="33" borderId="29" xfId="0" applyFont="1" applyFill="1" applyBorder="1" applyAlignment="1">
      <alignment horizontal="left" vertical="top" wrapText="1" indent="1"/>
    </xf>
    <xf numFmtId="0" fontId="19" fillId="33" borderId="30" xfId="0" applyFont="1" applyFill="1" applyBorder="1" applyAlignment="1">
      <alignment horizontal="left" vertical="top" wrapText="1" indent="1"/>
    </xf>
    <xf numFmtId="0" fontId="25" fillId="33" borderId="23" xfId="0" applyFont="1" applyFill="1" applyBorder="1" applyAlignment="1">
      <alignment horizontal="left" vertical="center" wrapText="1"/>
    </xf>
    <xf numFmtId="0" fontId="25" fillId="33" borderId="25" xfId="0" applyFont="1" applyFill="1" applyBorder="1" applyAlignment="1">
      <alignment horizontal="left" vertical="center" wrapText="1"/>
    </xf>
    <xf numFmtId="0" fontId="19" fillId="33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/>
    </xf>
    <xf numFmtId="0" fontId="31" fillId="33" borderId="0" xfId="0" applyFont="1" applyFill="1" applyBorder="1" applyAlignment="1" applyProtection="1">
      <alignment horizontal="center" vertical="center"/>
    </xf>
    <xf numFmtId="0" fontId="26" fillId="33" borderId="10" xfId="0" applyNumberFormat="1" applyFont="1" applyFill="1" applyBorder="1" applyAlignment="1" applyProtection="1">
      <alignment horizontal="center"/>
      <protection locked="0"/>
    </xf>
    <xf numFmtId="0" fontId="33" fillId="35" borderId="23" xfId="46" applyFont="1" applyFill="1" applyBorder="1" applyAlignment="1" applyProtection="1">
      <alignment horizontal="center" vertical="center"/>
    </xf>
    <xf numFmtId="0" fontId="33" fillId="35" borderId="24" xfId="46" applyFont="1" applyFill="1" applyBorder="1" applyAlignment="1" applyProtection="1">
      <alignment horizontal="center" vertical="center"/>
    </xf>
    <xf numFmtId="0" fontId="33" fillId="36" borderId="31" xfId="0" applyFont="1" applyFill="1" applyBorder="1" applyAlignment="1">
      <alignment horizontal="center" vertical="center"/>
    </xf>
    <xf numFmtId="0" fontId="33" fillId="36" borderId="32" xfId="0" applyFont="1" applyFill="1" applyBorder="1" applyAlignment="1">
      <alignment horizontal="center" vertical="center"/>
    </xf>
    <xf numFmtId="0" fontId="33" fillId="36" borderId="33" xfId="0" applyFont="1" applyFill="1" applyBorder="1" applyAlignment="1">
      <alignment horizontal="center" vertical="center"/>
    </xf>
    <xf numFmtId="0" fontId="33" fillId="36" borderId="34" xfId="0" applyFont="1" applyFill="1" applyBorder="1" applyAlignment="1">
      <alignment horizontal="center" vertical="center"/>
    </xf>
    <xf numFmtId="0" fontId="33" fillId="36" borderId="0" xfId="0" applyFont="1" applyFill="1" applyBorder="1" applyAlignment="1">
      <alignment horizontal="center" vertical="center"/>
    </xf>
    <xf numFmtId="0" fontId="33" fillId="36" borderId="35" xfId="0" applyFont="1" applyFill="1" applyBorder="1" applyAlignment="1">
      <alignment horizontal="center" vertical="center"/>
    </xf>
    <xf numFmtId="0" fontId="33" fillId="36" borderId="36" xfId="0" applyFont="1" applyFill="1" applyBorder="1" applyAlignment="1">
      <alignment horizontal="center" vertical="center"/>
    </xf>
    <xf numFmtId="0" fontId="33" fillId="36" borderId="37" xfId="0" applyFont="1" applyFill="1" applyBorder="1" applyAlignment="1">
      <alignment horizontal="center" vertical="center"/>
    </xf>
    <xf numFmtId="0" fontId="33" fillId="36" borderId="38" xfId="0" applyFont="1" applyFill="1" applyBorder="1" applyAlignment="1">
      <alignment horizontal="center" vertical="center"/>
    </xf>
    <xf numFmtId="0" fontId="30" fillId="33" borderId="39" xfId="0" applyFont="1" applyFill="1" applyBorder="1" applyAlignment="1">
      <alignment horizontal="center" vertical="center" wrapText="1"/>
    </xf>
    <xf numFmtId="0" fontId="30" fillId="33" borderId="41" xfId="0" applyFont="1" applyFill="1" applyBorder="1" applyAlignment="1">
      <alignment horizontal="center" vertical="center" wrapText="1"/>
    </xf>
    <xf numFmtId="0" fontId="30" fillId="33" borderId="22" xfId="0" applyFont="1" applyFill="1" applyBorder="1" applyAlignment="1">
      <alignment horizontal="center" vertical="center" wrapText="1"/>
    </xf>
    <xf numFmtId="0" fontId="30" fillId="33" borderId="40" xfId="0" applyFont="1" applyFill="1" applyBorder="1" applyAlignment="1">
      <alignment horizontal="center" vertical="center" wrapText="1"/>
    </xf>
    <xf numFmtId="0" fontId="26" fillId="33" borderId="0" xfId="0" applyFont="1" applyFill="1" applyBorder="1" applyAlignment="1" applyProtection="1">
      <alignment horizontal="center" vertical="center"/>
    </xf>
    <xf numFmtId="0" fontId="30" fillId="0" borderId="0" xfId="0" applyFont="1" applyAlignment="1">
      <alignment horizontal="center"/>
    </xf>
    <xf numFmtId="0" fontId="46" fillId="0" borderId="55" xfId="46" applyFont="1" applyFill="1" applyBorder="1" applyAlignment="1">
      <alignment horizontal="justify" vertical="center"/>
    </xf>
    <xf numFmtId="0" fontId="46" fillId="0" borderId="54" xfId="46" applyFont="1" applyFill="1" applyBorder="1" applyAlignment="1">
      <alignment horizontal="justify" vertical="center"/>
    </xf>
    <xf numFmtId="0" fontId="24" fillId="40" borderId="51" xfId="46" applyFont="1" applyFill="1" applyBorder="1" applyAlignment="1">
      <alignment horizontal="center" vertical="center" wrapText="1"/>
    </xf>
    <xf numFmtId="0" fontId="59" fillId="40" borderId="53" xfId="46" applyFont="1" applyFill="1" applyBorder="1" applyAlignment="1">
      <alignment horizontal="center" vertical="center" wrapText="1"/>
    </xf>
    <xf numFmtId="0" fontId="59" fillId="40" borderId="55" xfId="46" applyFont="1" applyFill="1" applyBorder="1" applyAlignment="1">
      <alignment horizontal="center" vertical="center" wrapText="1"/>
    </xf>
    <xf numFmtId="0" fontId="59" fillId="40" borderId="54" xfId="46" applyFont="1" applyFill="1" applyBorder="1" applyAlignment="1">
      <alignment horizontal="center" vertical="center" wrapText="1"/>
    </xf>
    <xf numFmtId="0" fontId="46" fillId="0" borderId="46" xfId="46" applyFont="1" applyFill="1" applyBorder="1" applyAlignment="1">
      <alignment horizontal="justify" vertical="center"/>
    </xf>
    <xf numFmtId="0" fontId="46" fillId="0" borderId="47" xfId="46" applyFont="1" applyFill="1" applyBorder="1" applyAlignment="1">
      <alignment horizontal="justify" vertical="center"/>
    </xf>
    <xf numFmtId="0" fontId="46" fillId="0" borderId="55" xfId="46" applyFont="1" applyFill="1" applyBorder="1" applyAlignment="1">
      <alignment horizontal="center" vertical="center"/>
    </xf>
    <xf numFmtId="0" fontId="46" fillId="0" borderId="54" xfId="46" applyFont="1" applyFill="1" applyBorder="1" applyAlignment="1">
      <alignment horizontal="center" vertical="center"/>
    </xf>
    <xf numFmtId="0" fontId="46" fillId="0" borderId="0" xfId="46" applyFont="1" applyFill="1" applyBorder="1" applyAlignment="1">
      <alignment horizontal="justify" vertical="center"/>
    </xf>
    <xf numFmtId="0" fontId="46" fillId="0" borderId="49" xfId="46" applyFont="1" applyFill="1" applyBorder="1" applyAlignment="1">
      <alignment horizontal="justify" vertical="center"/>
    </xf>
    <xf numFmtId="0" fontId="58" fillId="40" borderId="0" xfId="46" applyFont="1" applyFill="1" applyBorder="1" applyAlignment="1">
      <alignment horizontal="center" vertical="center"/>
    </xf>
    <xf numFmtId="0" fontId="58" fillId="40" borderId="49" xfId="46" applyFont="1" applyFill="1" applyBorder="1" applyAlignment="1">
      <alignment horizontal="center" vertical="center"/>
    </xf>
    <xf numFmtId="0" fontId="26" fillId="40" borderId="53" xfId="46" applyFont="1" applyFill="1" applyBorder="1" applyAlignment="1">
      <alignment horizontal="left" vertical="center" wrapText="1"/>
    </xf>
    <xf numFmtId="0" fontId="26" fillId="40" borderId="55" xfId="46" applyFont="1" applyFill="1" applyBorder="1" applyAlignment="1">
      <alignment horizontal="left" vertical="center" wrapText="1"/>
    </xf>
    <xf numFmtId="0" fontId="26" fillId="40" borderId="54" xfId="46" applyFont="1" applyFill="1" applyBorder="1" applyAlignment="1">
      <alignment horizontal="left" vertical="center" wrapText="1"/>
    </xf>
    <xf numFmtId="0" fontId="59" fillId="40" borderId="56" xfId="46" applyFont="1" applyFill="1" applyBorder="1" applyAlignment="1">
      <alignment horizontal="center" vertical="center" wrapText="1"/>
    </xf>
    <xf numFmtId="0" fontId="59" fillId="40" borderId="45" xfId="46" applyFont="1" applyFill="1" applyBorder="1" applyAlignment="1">
      <alignment horizontal="center" vertical="center" wrapText="1"/>
    </xf>
    <xf numFmtId="0" fontId="59" fillId="40" borderId="47" xfId="46" applyFont="1" applyFill="1" applyBorder="1" applyAlignment="1">
      <alignment horizontal="center" vertical="center" wrapText="1"/>
    </xf>
    <xf numFmtId="0" fontId="59" fillId="40" borderId="50" xfId="46" applyFont="1" applyFill="1" applyBorder="1" applyAlignment="1">
      <alignment horizontal="center" vertical="center" wrapText="1"/>
    </xf>
    <xf numFmtId="0" fontId="59" fillId="40" borderId="52" xfId="46" applyFont="1" applyFill="1" applyBorder="1" applyAlignment="1">
      <alignment horizontal="center" vertical="center" wrapText="1"/>
    </xf>
    <xf numFmtId="0" fontId="59" fillId="40" borderId="56" xfId="46" applyNumberFormat="1" applyFont="1" applyFill="1" applyBorder="1" applyAlignment="1">
      <alignment horizontal="center" vertical="center" wrapText="1"/>
    </xf>
    <xf numFmtId="0" fontId="59" fillId="0" borderId="56" xfId="46" applyNumberFormat="1" applyFont="1" applyBorder="1" applyAlignment="1">
      <alignment horizontal="center" vertical="center" wrapText="1"/>
    </xf>
    <xf numFmtId="0" fontId="58" fillId="40" borderId="53" xfId="46" applyFont="1" applyFill="1" applyBorder="1" applyAlignment="1">
      <alignment horizontal="center" vertical="justify" wrapText="1"/>
    </xf>
    <xf numFmtId="0" fontId="58" fillId="40" borderId="55" xfId="46" applyFont="1" applyFill="1" applyBorder="1" applyAlignment="1">
      <alignment horizontal="center" vertical="justify" wrapText="1"/>
    </xf>
    <xf numFmtId="0" fontId="58" fillId="40" borderId="54" xfId="46" applyFont="1" applyFill="1" applyBorder="1" applyAlignment="1">
      <alignment horizontal="center" vertical="justify" wrapText="1"/>
    </xf>
    <xf numFmtId="0" fontId="60" fillId="0" borderId="0" xfId="46" applyFont="1" applyFill="1" applyBorder="1" applyAlignment="1">
      <alignment horizontal="justify" vertical="center" wrapText="1"/>
    </xf>
    <xf numFmtId="0" fontId="60" fillId="0" borderId="49" xfId="46" applyFont="1" applyFill="1" applyBorder="1" applyAlignment="1">
      <alignment horizontal="justify" vertical="center" wrapText="1"/>
    </xf>
    <xf numFmtId="0" fontId="60" fillId="0" borderId="51" xfId="46" applyFont="1" applyFill="1" applyBorder="1" applyAlignment="1">
      <alignment horizontal="justify" vertical="center" wrapText="1"/>
    </xf>
    <xf numFmtId="0" fontId="60" fillId="0" borderId="52" xfId="46" applyFont="1" applyFill="1" applyBorder="1" applyAlignment="1">
      <alignment horizontal="justify" vertical="center" wrapText="1"/>
    </xf>
    <xf numFmtId="0" fontId="60" fillId="0" borderId="0" xfId="46" applyFont="1" applyFill="1" applyBorder="1" applyAlignment="1">
      <alignment horizontal="left" vertical="center" wrapText="1"/>
    </xf>
    <xf numFmtId="0" fontId="60" fillId="0" borderId="49" xfId="46" applyFont="1" applyFill="1" applyBorder="1" applyAlignment="1">
      <alignment horizontal="left" vertical="center" wrapText="1"/>
    </xf>
    <xf numFmtId="0" fontId="60" fillId="0" borderId="0" xfId="46" applyFont="1" applyFill="1" applyBorder="1" applyAlignment="1">
      <alignment horizontal="justify" vertical="center"/>
    </xf>
    <xf numFmtId="0" fontId="60" fillId="0" borderId="49" xfId="46" applyFont="1" applyFill="1" applyBorder="1" applyAlignment="1">
      <alignment horizontal="justify" vertical="center"/>
    </xf>
    <xf numFmtId="0" fontId="26" fillId="40" borderId="53" xfId="46" applyFont="1" applyFill="1" applyBorder="1" applyAlignment="1">
      <alignment horizontal="justify" vertical="center" wrapText="1"/>
    </xf>
    <xf numFmtId="0" fontId="26" fillId="40" borderId="55" xfId="46" applyFont="1" applyFill="1" applyBorder="1" applyAlignment="1">
      <alignment horizontal="justify" vertical="center" wrapText="1"/>
    </xf>
    <xf numFmtId="0" fontId="26" fillId="40" borderId="54" xfId="46" applyFont="1" applyFill="1" applyBorder="1" applyAlignment="1">
      <alignment horizontal="justify" vertical="center" wrapText="1"/>
    </xf>
    <xf numFmtId="0" fontId="58" fillId="40" borderId="56" xfId="46" applyFont="1" applyFill="1" applyBorder="1" applyAlignment="1">
      <alignment horizontal="center" vertical="center" wrapText="1"/>
    </xf>
    <xf numFmtId="0" fontId="58" fillId="40" borderId="45" xfId="46" applyFont="1" applyFill="1" applyBorder="1" applyAlignment="1">
      <alignment horizontal="center" vertical="center" wrapText="1"/>
    </xf>
    <xf numFmtId="0" fontId="58" fillId="40" borderId="47" xfId="46" applyFont="1" applyFill="1" applyBorder="1" applyAlignment="1">
      <alignment horizontal="center" vertical="center" wrapText="1"/>
    </xf>
    <xf numFmtId="0" fontId="58" fillId="40" borderId="50" xfId="46" applyFont="1" applyFill="1" applyBorder="1" applyAlignment="1">
      <alignment horizontal="center" vertical="center" wrapText="1"/>
    </xf>
    <xf numFmtId="0" fontId="58" fillId="40" borderId="52" xfId="46" applyFont="1" applyFill="1" applyBorder="1" applyAlignment="1">
      <alignment horizontal="center" vertical="center" wrapText="1"/>
    </xf>
    <xf numFmtId="0" fontId="58" fillId="40" borderId="56" xfId="46" applyNumberFormat="1" applyFont="1" applyFill="1" applyBorder="1" applyAlignment="1">
      <alignment horizontal="center" vertical="center" wrapText="1"/>
    </xf>
    <xf numFmtId="0" fontId="58" fillId="0" borderId="56" xfId="46" applyNumberFormat="1" applyFont="1" applyBorder="1" applyAlignment="1">
      <alignment horizontal="center" vertical="center" wrapText="1"/>
    </xf>
    <xf numFmtId="0" fontId="58" fillId="40" borderId="53" xfId="46" applyFont="1" applyFill="1" applyBorder="1" applyAlignment="1">
      <alignment horizontal="center" vertical="center" wrapText="1"/>
    </xf>
    <xf numFmtId="0" fontId="58" fillId="40" borderId="55" xfId="46" applyFont="1" applyFill="1" applyBorder="1" applyAlignment="1">
      <alignment horizontal="center" vertical="center" wrapText="1"/>
    </xf>
    <xf numFmtId="0" fontId="60" fillId="0" borderId="46" xfId="46" applyFont="1" applyFill="1" applyBorder="1" applyAlignment="1">
      <alignment horizontal="justify" vertical="center"/>
    </xf>
    <xf numFmtId="0" fontId="60" fillId="0" borderId="47" xfId="46" applyFont="1" applyFill="1" applyBorder="1" applyAlignment="1">
      <alignment horizontal="justify" vertical="center"/>
    </xf>
  </cellXfs>
  <cellStyles count="53">
    <cellStyle name="=C:\WINNT\SYSTEM32\COMMAND.COM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/>
    <cellStyle name="Millares 2 2" xfId="52"/>
    <cellStyle name="Millares 5 2" xfId="44"/>
    <cellStyle name="Neutral" xfId="8" builtinId="28" customBuiltin="1"/>
    <cellStyle name="Normal" xfId="0" builtinId="0"/>
    <cellStyle name="Normal 2" xfId="46"/>
    <cellStyle name="Normal 3" xfId="48"/>
    <cellStyle name="Normal 5 3" xfId="42"/>
    <cellStyle name="Normal 7 2 2" xfId="43"/>
    <cellStyle name="Normal 9" xfId="5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/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/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/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/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lomon\Documents\SALOMON\CONTABILIDAD\INTERNO%201\CONTABILIDAD%202014\ESTADOS%20FINANCIEROS\AGOSTO\CUENTA%20PUBLICA%20ENERO-FEBRERO\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onta_marysol2\Datos%20de%20programa\Microsoft\Excel\CUENTA%20PUBLICA%20ENERO-FEBRERO\CTA%20PUBLICA%20FEBRERO%20DEUDORES%20DIVER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244\Desktop\Estados%20Vincul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CProg"/>
      <sheetName val="Post Fiscal"/>
      <sheetName val="BMu"/>
      <sheetName val="BInmu"/>
      <sheetName val="Rel Cta Banc"/>
      <sheetName val="BALAN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3">
          <cell r="E33">
            <v>0</v>
          </cell>
          <cell r="H33">
            <v>0</v>
          </cell>
          <cell r="I33">
            <v>0</v>
          </cell>
        </row>
        <row r="51">
          <cell r="H51">
            <v>0</v>
          </cell>
        </row>
        <row r="52">
          <cell r="E52">
            <v>0</v>
          </cell>
        </row>
        <row r="54">
          <cell r="I5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O223"/>
  <sheetViews>
    <sheetView showGridLines="0" tabSelected="1" topLeftCell="D19" zoomScaleNormal="100" workbookViewId="0">
      <selection activeCell="D7" sqref="D7"/>
    </sheetView>
  </sheetViews>
  <sheetFormatPr baseColWidth="10" defaultRowHeight="14.25" x14ac:dyDescent="0.2"/>
  <cols>
    <col min="1" max="1" width="3.140625" style="8" hidden="1" customWidth="1"/>
    <col min="2" max="2" width="3" style="8" hidden="1" customWidth="1"/>
    <col min="3" max="3" width="4.85546875" style="8" hidden="1" customWidth="1"/>
    <col min="4" max="4" width="62" style="1" customWidth="1"/>
    <col min="5" max="5" width="11.7109375" style="1" customWidth="1"/>
    <col min="6" max="6" width="13.85546875" style="1" customWidth="1"/>
    <col min="7" max="7" width="12.28515625" style="1" customWidth="1"/>
    <col min="8" max="8" width="7.140625" style="12" customWidth="1"/>
    <col min="9" max="9" width="3.28515625" style="6" hidden="1" customWidth="1"/>
    <col min="10" max="10" width="2.5703125" style="6" hidden="1" customWidth="1"/>
    <col min="11" max="11" width="2.42578125" style="6" hidden="1" customWidth="1"/>
    <col min="12" max="12" width="51.5703125" style="1" customWidth="1"/>
    <col min="13" max="16384" width="11.42578125" style="1"/>
  </cols>
  <sheetData>
    <row r="1" spans="1:15" ht="19.5" customHeight="1" x14ac:dyDescent="0.3">
      <c r="A1" s="368"/>
      <c r="B1" s="368"/>
      <c r="C1" s="368"/>
      <c r="D1" s="569" t="s">
        <v>38</v>
      </c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1"/>
    </row>
    <row r="2" spans="1:15" ht="15" customHeight="1" x14ac:dyDescent="0.25">
      <c r="A2" s="367"/>
      <c r="B2" s="367"/>
      <c r="C2" s="367"/>
      <c r="D2" s="572" t="str">
        <f>BALANZA!Q9</f>
        <v>Cuenta Pública 2016</v>
      </c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4"/>
    </row>
    <row r="3" spans="1:15" ht="14.25" customHeight="1" x14ac:dyDescent="0.2">
      <c r="A3" s="366"/>
      <c r="B3" s="366"/>
      <c r="C3" s="366"/>
      <c r="D3" s="575" t="s">
        <v>39</v>
      </c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7"/>
    </row>
    <row r="4" spans="1:15" ht="14.25" customHeight="1" x14ac:dyDescent="0.2">
      <c r="A4" s="366"/>
      <c r="B4" s="366"/>
      <c r="C4" s="366"/>
      <c r="D4" s="575" t="str">
        <f>BALANZA!Q7</f>
        <v>Del 1° de Enero al 31 de marzo de 2016 y 2015</v>
      </c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7"/>
    </row>
    <row r="5" spans="1:15" ht="14.25" customHeight="1" x14ac:dyDescent="0.2">
      <c r="A5" s="366"/>
      <c r="B5" s="366"/>
      <c r="C5" s="366"/>
      <c r="D5" s="575" t="s">
        <v>0</v>
      </c>
      <c r="E5" s="576"/>
      <c r="F5" s="576"/>
      <c r="G5" s="576"/>
      <c r="H5" s="576"/>
      <c r="I5" s="576"/>
      <c r="J5" s="576"/>
      <c r="K5" s="576"/>
      <c r="L5" s="576"/>
      <c r="M5" s="576"/>
      <c r="N5" s="576"/>
      <c r="O5" s="577"/>
    </row>
    <row r="6" spans="1:15" s="12" customFormat="1" ht="14.25" customHeight="1" x14ac:dyDescent="0.2">
      <c r="A6" s="52"/>
      <c r="B6" s="52"/>
      <c r="C6" s="52"/>
      <c r="D6" s="566" t="str">
        <f>BALANZA!Q5</f>
        <v>EL COLEGIO DE TLAXCALA, A.C.</v>
      </c>
      <c r="E6" s="567"/>
      <c r="F6" s="567"/>
      <c r="G6" s="567"/>
      <c r="H6" s="567"/>
      <c r="I6" s="567"/>
      <c r="J6" s="567"/>
      <c r="K6" s="567"/>
      <c r="L6" s="567"/>
      <c r="M6" s="567"/>
      <c r="N6" s="567"/>
      <c r="O6" s="568"/>
    </row>
    <row r="7" spans="1:15" s="12" customFormat="1" x14ac:dyDescent="0.2">
      <c r="A7" s="14"/>
      <c r="B7" s="14"/>
      <c r="C7" s="14"/>
      <c r="D7" s="312"/>
      <c r="E7" s="169"/>
      <c r="F7" s="169"/>
      <c r="G7" s="169"/>
      <c r="H7" s="169"/>
      <c r="I7" s="169"/>
      <c r="J7" s="169"/>
      <c r="K7" s="169"/>
      <c r="L7" s="87"/>
      <c r="M7" s="87"/>
      <c r="N7" s="87"/>
      <c r="O7" s="313"/>
    </row>
    <row r="8" spans="1:15" s="4" customFormat="1" ht="12.75" hidden="1" customHeight="1" x14ac:dyDescent="0.2">
      <c r="A8" s="5" t="s">
        <v>12</v>
      </c>
      <c r="B8" s="5" t="s">
        <v>5</v>
      </c>
      <c r="C8" s="5" t="s">
        <v>36</v>
      </c>
      <c r="D8" s="314" t="s">
        <v>95</v>
      </c>
      <c r="E8" s="115"/>
      <c r="F8" s="315" t="s">
        <v>6</v>
      </c>
      <c r="G8" s="315" t="s">
        <v>8</v>
      </c>
      <c r="H8" s="315"/>
      <c r="I8" s="315" t="s">
        <v>22</v>
      </c>
      <c r="J8" s="315" t="s">
        <v>24</v>
      </c>
      <c r="K8" s="315" t="s">
        <v>25</v>
      </c>
      <c r="L8" s="315" t="s">
        <v>33</v>
      </c>
      <c r="M8" s="315" t="s">
        <v>3</v>
      </c>
      <c r="N8" s="315" t="s">
        <v>26</v>
      </c>
      <c r="O8" s="316" t="s">
        <v>27</v>
      </c>
    </row>
    <row r="9" spans="1:15" s="12" customFormat="1" x14ac:dyDescent="0.2">
      <c r="A9" s="5"/>
      <c r="B9" s="5"/>
      <c r="C9" s="5"/>
      <c r="D9" s="89" t="s">
        <v>3</v>
      </c>
      <c r="E9" s="71" t="s">
        <v>3</v>
      </c>
      <c r="F9" s="71" t="s">
        <v>3</v>
      </c>
      <c r="G9" s="71" t="s">
        <v>3</v>
      </c>
      <c r="H9" s="71" t="s">
        <v>3</v>
      </c>
      <c r="I9" s="71" t="s">
        <v>3</v>
      </c>
      <c r="J9" s="71" t="s">
        <v>3</v>
      </c>
      <c r="K9" s="71" t="s">
        <v>3</v>
      </c>
      <c r="L9" s="71" t="s">
        <v>3</v>
      </c>
      <c r="M9" s="71" t="s">
        <v>3</v>
      </c>
      <c r="N9" s="71" t="s">
        <v>3</v>
      </c>
      <c r="O9" s="317" t="s">
        <v>3</v>
      </c>
    </row>
    <row r="10" spans="1:15" s="12" customFormat="1" x14ac:dyDescent="0.2">
      <c r="A10" s="5"/>
      <c r="B10" s="5"/>
      <c r="C10" s="5"/>
      <c r="D10" s="90" t="s">
        <v>40</v>
      </c>
      <c r="E10" s="171" t="s">
        <v>3</v>
      </c>
      <c r="F10" s="171">
        <v>2016</v>
      </c>
      <c r="G10" s="171">
        <v>2015</v>
      </c>
      <c r="H10" s="171" t="s">
        <v>3</v>
      </c>
      <c r="I10" s="171" t="s">
        <v>3</v>
      </c>
      <c r="J10" s="171" t="s">
        <v>3</v>
      </c>
      <c r="K10" s="171" t="s">
        <v>3</v>
      </c>
      <c r="L10" s="171" t="s">
        <v>40</v>
      </c>
      <c r="M10" s="171" t="s">
        <v>3</v>
      </c>
      <c r="N10" s="171">
        <v>2016</v>
      </c>
      <c r="O10" s="318">
        <v>2015</v>
      </c>
    </row>
    <row r="11" spans="1:15" s="3" customFormat="1" x14ac:dyDescent="0.2">
      <c r="A11" s="118"/>
      <c r="B11" s="118"/>
      <c r="C11" s="118"/>
      <c r="D11" s="36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370"/>
    </row>
    <row r="12" spans="1:15" x14ac:dyDescent="0.2">
      <c r="A12" s="7"/>
      <c r="B12" s="7"/>
      <c r="C12" s="7"/>
      <c r="D12" s="592" t="s">
        <v>2</v>
      </c>
      <c r="E12" s="593"/>
      <c r="F12" s="16"/>
      <c r="G12" s="16"/>
      <c r="H12" s="16"/>
      <c r="I12" s="25"/>
      <c r="J12" s="25"/>
      <c r="K12" s="116"/>
      <c r="L12" s="587" t="s">
        <v>60</v>
      </c>
      <c r="M12" s="587"/>
      <c r="N12" s="16"/>
      <c r="O12" s="371"/>
    </row>
    <row r="13" spans="1:15" x14ac:dyDescent="0.2">
      <c r="A13" s="7"/>
      <c r="B13" s="7"/>
      <c r="C13" s="7"/>
      <c r="D13" s="592" t="s">
        <v>47</v>
      </c>
      <c r="E13" s="593"/>
      <c r="F13" s="17">
        <f>SUM(F14:F21)</f>
        <v>3350496</v>
      </c>
      <c r="G13" s="17">
        <f>SUM(G14:G21)</f>
        <v>3927598</v>
      </c>
      <c r="H13" s="17"/>
      <c r="I13" s="26"/>
      <c r="J13" s="26"/>
      <c r="K13" s="116"/>
      <c r="L13" s="587" t="s">
        <v>61</v>
      </c>
      <c r="M13" s="587"/>
      <c r="N13" s="17">
        <f>SUM(N14:N16)</f>
        <v>5252590</v>
      </c>
      <c r="O13" s="372">
        <f>SUM(O14:O16)</f>
        <v>16196320</v>
      </c>
    </row>
    <row r="14" spans="1:15" x14ac:dyDescent="0.2">
      <c r="A14" s="8">
        <v>4</v>
      </c>
      <c r="B14" s="8">
        <v>1</v>
      </c>
      <c r="C14" s="8">
        <v>1</v>
      </c>
      <c r="D14" s="588" t="s">
        <v>41</v>
      </c>
      <c r="E14" s="589"/>
      <c r="F14" s="18">
        <v>0</v>
      </c>
      <c r="G14" s="18">
        <v>0</v>
      </c>
      <c r="H14" s="18"/>
      <c r="I14" s="117">
        <v>5</v>
      </c>
      <c r="J14" s="117">
        <v>1</v>
      </c>
      <c r="K14" s="117">
        <v>1</v>
      </c>
      <c r="L14" s="584" t="s">
        <v>62</v>
      </c>
      <c r="M14" s="584"/>
      <c r="N14" s="18">
        <f>BALANZA!J494</f>
        <v>2835746</v>
      </c>
      <c r="O14" s="373">
        <f>BALANZA!G494</f>
        <v>11693719</v>
      </c>
    </row>
    <row r="15" spans="1:15" s="12" customFormat="1" x14ac:dyDescent="0.2">
      <c r="A15" s="8">
        <v>4</v>
      </c>
      <c r="B15" s="8">
        <v>1</v>
      </c>
      <c r="C15" s="8">
        <v>2</v>
      </c>
      <c r="D15" s="588" t="s">
        <v>48</v>
      </c>
      <c r="E15" s="589"/>
      <c r="F15" s="18">
        <v>0</v>
      </c>
      <c r="G15" s="18">
        <v>0</v>
      </c>
      <c r="H15" s="18"/>
      <c r="I15" s="117">
        <v>5</v>
      </c>
      <c r="J15" s="117">
        <v>1</v>
      </c>
      <c r="K15" s="117">
        <v>2</v>
      </c>
      <c r="L15" s="584" t="s">
        <v>63</v>
      </c>
      <c r="M15" s="584"/>
      <c r="N15" s="18">
        <f>BALANZA!J509</f>
        <v>110976</v>
      </c>
      <c r="O15" s="373">
        <f>BALANZA!G509</f>
        <v>554279</v>
      </c>
    </row>
    <row r="16" spans="1:15" s="12" customFormat="1" x14ac:dyDescent="0.2">
      <c r="A16" s="8">
        <v>4</v>
      </c>
      <c r="B16" s="8">
        <v>1</v>
      </c>
      <c r="C16" s="8">
        <v>3</v>
      </c>
      <c r="D16" s="588" t="s">
        <v>42</v>
      </c>
      <c r="E16" s="589"/>
      <c r="F16" s="18">
        <v>0</v>
      </c>
      <c r="G16" s="18">
        <v>0</v>
      </c>
      <c r="H16" s="18"/>
      <c r="I16" s="117">
        <v>5</v>
      </c>
      <c r="J16" s="117">
        <v>1</v>
      </c>
      <c r="K16" s="117">
        <v>3</v>
      </c>
      <c r="L16" s="584" t="s">
        <v>64</v>
      </c>
      <c r="M16" s="584"/>
      <c r="N16" s="18">
        <f>BALANZA!J541</f>
        <v>2305868</v>
      </c>
      <c r="O16" s="373">
        <f>BALANZA!G541</f>
        <v>3948322</v>
      </c>
    </row>
    <row r="17" spans="1:15" x14ac:dyDescent="0.2">
      <c r="A17" s="8">
        <v>4</v>
      </c>
      <c r="B17" s="8">
        <v>1</v>
      </c>
      <c r="C17" s="8">
        <v>4</v>
      </c>
      <c r="D17" s="588" t="s">
        <v>43</v>
      </c>
      <c r="E17" s="589"/>
      <c r="F17" s="18">
        <f>BALANZA!J416</f>
        <v>3348711</v>
      </c>
      <c r="G17" s="18">
        <f>BALANZA!G416</f>
        <v>3720212</v>
      </c>
      <c r="H17" s="18"/>
      <c r="I17" s="117"/>
      <c r="J17" s="117"/>
      <c r="K17" s="117"/>
      <c r="L17" s="168"/>
      <c r="M17" s="19"/>
      <c r="N17" s="20"/>
      <c r="O17" s="374"/>
    </row>
    <row r="18" spans="1:15" x14ac:dyDescent="0.2">
      <c r="A18" s="8">
        <v>4</v>
      </c>
      <c r="B18" s="8">
        <v>1</v>
      </c>
      <c r="C18" s="8">
        <v>5</v>
      </c>
      <c r="D18" s="588" t="s">
        <v>44</v>
      </c>
      <c r="E18" s="589"/>
      <c r="F18" s="18">
        <f>BALANZA!J430</f>
        <v>1785</v>
      </c>
      <c r="G18" s="18">
        <f>BALANZA!G430</f>
        <v>4841</v>
      </c>
      <c r="H18" s="18"/>
      <c r="I18" s="117"/>
      <c r="J18" s="117"/>
      <c r="K18" s="117"/>
      <c r="L18" s="587" t="s">
        <v>65</v>
      </c>
      <c r="M18" s="587"/>
      <c r="N18" s="17">
        <f>SUM(N19:N27)</f>
        <v>0</v>
      </c>
      <c r="O18" s="372">
        <f>SUM(O19:O27)</f>
        <v>0</v>
      </c>
    </row>
    <row r="19" spans="1:15" x14ac:dyDescent="0.2">
      <c r="A19" s="8">
        <v>4</v>
      </c>
      <c r="B19" s="8">
        <v>1</v>
      </c>
      <c r="C19" s="8">
        <v>6</v>
      </c>
      <c r="D19" s="588" t="s">
        <v>45</v>
      </c>
      <c r="E19" s="589"/>
      <c r="F19" s="18">
        <f>BALANZA!J439</f>
        <v>0</v>
      </c>
      <c r="G19" s="18">
        <f>BALANZA!G439</f>
        <v>202545</v>
      </c>
      <c r="H19" s="18"/>
      <c r="I19" s="117">
        <v>5</v>
      </c>
      <c r="J19" s="117">
        <v>2</v>
      </c>
      <c r="K19" s="117">
        <v>1</v>
      </c>
      <c r="L19" s="584" t="s">
        <v>66</v>
      </c>
      <c r="M19" s="584"/>
      <c r="N19" s="18">
        <v>0</v>
      </c>
      <c r="O19" s="373">
        <v>0</v>
      </c>
    </row>
    <row r="20" spans="1:15" s="12" customFormat="1" x14ac:dyDescent="0.2">
      <c r="A20" s="8">
        <v>4</v>
      </c>
      <c r="B20" s="8">
        <v>1</v>
      </c>
      <c r="C20" s="8">
        <v>7</v>
      </c>
      <c r="D20" s="588" t="s">
        <v>46</v>
      </c>
      <c r="E20" s="589"/>
      <c r="F20" s="18">
        <v>0</v>
      </c>
      <c r="G20" s="18">
        <v>0</v>
      </c>
      <c r="H20" s="18"/>
      <c r="I20" s="117">
        <v>5</v>
      </c>
      <c r="J20" s="117">
        <v>2</v>
      </c>
      <c r="K20" s="117">
        <v>2</v>
      </c>
      <c r="L20" s="584" t="s">
        <v>67</v>
      </c>
      <c r="M20" s="584"/>
      <c r="N20" s="18">
        <v>0</v>
      </c>
      <c r="O20" s="373">
        <v>0</v>
      </c>
    </row>
    <row r="21" spans="1:15" s="12" customFormat="1" ht="14.25" customHeight="1" x14ac:dyDescent="0.2">
      <c r="A21" s="8">
        <v>4</v>
      </c>
      <c r="B21" s="8">
        <v>1</v>
      </c>
      <c r="C21" s="8">
        <v>9</v>
      </c>
      <c r="D21" s="588" t="s">
        <v>49</v>
      </c>
      <c r="E21" s="589"/>
      <c r="F21" s="18">
        <v>0</v>
      </c>
      <c r="G21" s="18">
        <v>0</v>
      </c>
      <c r="H21" s="18"/>
      <c r="I21" s="117">
        <v>5</v>
      </c>
      <c r="J21" s="117">
        <v>2</v>
      </c>
      <c r="K21" s="117">
        <v>3</v>
      </c>
      <c r="L21" s="584" t="s">
        <v>68</v>
      </c>
      <c r="M21" s="584"/>
      <c r="N21" s="18">
        <v>0</v>
      </c>
      <c r="O21" s="373">
        <v>0</v>
      </c>
    </row>
    <row r="22" spans="1:15" s="12" customFormat="1" x14ac:dyDescent="0.2">
      <c r="A22" s="8"/>
      <c r="B22" s="8"/>
      <c r="C22" s="8"/>
      <c r="D22" s="390"/>
      <c r="E22" s="391"/>
      <c r="F22" s="20"/>
      <c r="G22" s="20"/>
      <c r="H22" s="20"/>
      <c r="I22" s="117">
        <v>5</v>
      </c>
      <c r="J22" s="117">
        <v>2</v>
      </c>
      <c r="K22" s="117">
        <v>4</v>
      </c>
      <c r="L22" s="584" t="s">
        <v>69</v>
      </c>
      <c r="M22" s="584"/>
      <c r="N22" s="18">
        <v>0</v>
      </c>
      <c r="O22" s="373">
        <v>0</v>
      </c>
    </row>
    <row r="23" spans="1:15" s="12" customFormat="1" ht="14.25" customHeight="1" x14ac:dyDescent="0.2">
      <c r="A23" s="8"/>
      <c r="B23" s="8"/>
      <c r="C23" s="8"/>
      <c r="D23" s="592" t="s">
        <v>50</v>
      </c>
      <c r="E23" s="593"/>
      <c r="F23" s="17">
        <f>SUM(F24:F25)</f>
        <v>2553000</v>
      </c>
      <c r="G23" s="17">
        <f>SUM(G24:G25)</f>
        <v>12001280</v>
      </c>
      <c r="H23" s="17"/>
      <c r="I23" s="117">
        <v>5</v>
      </c>
      <c r="J23" s="117">
        <v>2</v>
      </c>
      <c r="K23" s="117">
        <v>5</v>
      </c>
      <c r="L23" s="584" t="s">
        <v>70</v>
      </c>
      <c r="M23" s="584"/>
      <c r="N23" s="18">
        <v>0</v>
      </c>
      <c r="O23" s="373">
        <v>0</v>
      </c>
    </row>
    <row r="24" spans="1:15" x14ac:dyDescent="0.2">
      <c r="A24" s="8">
        <v>4</v>
      </c>
      <c r="B24" s="8">
        <v>2</v>
      </c>
      <c r="C24" s="8">
        <v>1</v>
      </c>
      <c r="D24" s="588" t="s">
        <v>51</v>
      </c>
      <c r="E24" s="589"/>
      <c r="F24" s="21">
        <f>BALANZA!J460</f>
        <v>2553000</v>
      </c>
      <c r="G24" s="21">
        <f>BALANZA!G460</f>
        <v>12001280</v>
      </c>
      <c r="H24" s="21"/>
      <c r="I24" s="117">
        <v>5</v>
      </c>
      <c r="J24" s="117">
        <v>2</v>
      </c>
      <c r="K24" s="117">
        <v>6</v>
      </c>
      <c r="L24" s="584" t="s">
        <v>71</v>
      </c>
      <c r="M24" s="584"/>
      <c r="N24" s="18">
        <v>0</v>
      </c>
      <c r="O24" s="373">
        <v>0</v>
      </c>
    </row>
    <row r="25" spans="1:15" x14ac:dyDescent="0.2">
      <c r="A25" s="8">
        <v>4</v>
      </c>
      <c r="B25" s="8">
        <v>2</v>
      </c>
      <c r="C25" s="8">
        <v>2</v>
      </c>
      <c r="D25" s="588" t="s">
        <v>52</v>
      </c>
      <c r="E25" s="589"/>
      <c r="F25" s="18">
        <v>0</v>
      </c>
      <c r="G25" s="18">
        <v>0</v>
      </c>
      <c r="H25" s="18"/>
      <c r="I25" s="117">
        <v>5</v>
      </c>
      <c r="J25" s="117">
        <v>2</v>
      </c>
      <c r="K25" s="117">
        <v>7</v>
      </c>
      <c r="L25" s="584" t="s">
        <v>72</v>
      </c>
      <c r="M25" s="584"/>
      <c r="N25" s="18">
        <v>0</v>
      </c>
      <c r="O25" s="373">
        <v>0</v>
      </c>
    </row>
    <row r="26" spans="1:15" x14ac:dyDescent="0.2">
      <c r="D26" s="390"/>
      <c r="E26" s="391"/>
      <c r="F26" s="20"/>
      <c r="G26" s="20"/>
      <c r="H26" s="20"/>
      <c r="I26" s="117">
        <v>5</v>
      </c>
      <c r="J26" s="117">
        <v>2</v>
      </c>
      <c r="K26" s="117">
        <v>8</v>
      </c>
      <c r="L26" s="584" t="s">
        <v>73</v>
      </c>
      <c r="M26" s="584"/>
      <c r="N26" s="18">
        <v>0</v>
      </c>
      <c r="O26" s="373">
        <v>0</v>
      </c>
    </row>
    <row r="27" spans="1:15" x14ac:dyDescent="0.2">
      <c r="D27" s="592" t="s">
        <v>53</v>
      </c>
      <c r="E27" s="593"/>
      <c r="F27" s="17">
        <f>SUM(F28:F32)</f>
        <v>0</v>
      </c>
      <c r="G27" s="17">
        <f>SUM(G28:G32)</f>
        <v>0</v>
      </c>
      <c r="H27" s="17"/>
      <c r="I27" s="117">
        <v>5</v>
      </c>
      <c r="J27" s="117">
        <v>2</v>
      </c>
      <c r="K27" s="117">
        <v>9</v>
      </c>
      <c r="L27" s="584" t="s">
        <v>74</v>
      </c>
      <c r="M27" s="584"/>
      <c r="N27" s="18">
        <v>0</v>
      </c>
      <c r="O27" s="373">
        <v>0</v>
      </c>
    </row>
    <row r="28" spans="1:15" x14ac:dyDescent="0.2">
      <c r="A28" s="8">
        <v>4</v>
      </c>
      <c r="B28" s="8">
        <v>3</v>
      </c>
      <c r="C28" s="8">
        <v>1</v>
      </c>
      <c r="D28" s="588" t="s">
        <v>54</v>
      </c>
      <c r="E28" s="589"/>
      <c r="F28" s="18">
        <v>0</v>
      </c>
      <c r="G28" s="18">
        <v>0</v>
      </c>
      <c r="H28" s="18"/>
      <c r="I28" s="117"/>
      <c r="J28" s="117"/>
      <c r="K28" s="117"/>
      <c r="L28" s="168"/>
      <c r="M28" s="19"/>
      <c r="N28" s="20"/>
      <c r="O28" s="374"/>
    </row>
    <row r="29" spans="1:15" x14ac:dyDescent="0.2">
      <c r="A29" s="8">
        <v>4</v>
      </c>
      <c r="B29" s="8">
        <v>3</v>
      </c>
      <c r="C29" s="8">
        <v>2</v>
      </c>
      <c r="D29" s="588" t="s">
        <v>55</v>
      </c>
      <c r="E29" s="589"/>
      <c r="F29" s="18">
        <v>0</v>
      </c>
      <c r="G29" s="18">
        <v>0</v>
      </c>
      <c r="H29" s="18"/>
      <c r="I29" s="117"/>
      <c r="J29" s="117"/>
      <c r="K29" s="117"/>
      <c r="L29" s="585" t="s">
        <v>51</v>
      </c>
      <c r="M29" s="585"/>
      <c r="N29" s="17">
        <f>SUM(N30:N32)</f>
        <v>0</v>
      </c>
      <c r="O29" s="372">
        <f>SUM(O30:O32)</f>
        <v>0</v>
      </c>
    </row>
    <row r="30" spans="1:15" ht="14.25" customHeight="1" x14ac:dyDescent="0.2">
      <c r="A30" s="8">
        <v>4</v>
      </c>
      <c r="B30" s="8">
        <v>3</v>
      </c>
      <c r="C30" s="8">
        <v>3</v>
      </c>
      <c r="D30" s="588" t="s">
        <v>56</v>
      </c>
      <c r="E30" s="589"/>
      <c r="F30" s="18">
        <v>0</v>
      </c>
      <c r="G30" s="18">
        <v>0</v>
      </c>
      <c r="H30" s="18"/>
      <c r="I30" s="117">
        <v>5</v>
      </c>
      <c r="J30" s="117">
        <v>3</v>
      </c>
      <c r="K30" s="117">
        <v>1</v>
      </c>
      <c r="L30" s="584" t="s">
        <v>75</v>
      </c>
      <c r="M30" s="584"/>
      <c r="N30" s="18">
        <v>0</v>
      </c>
      <c r="O30" s="373">
        <v>0</v>
      </c>
    </row>
    <row r="31" spans="1:15" x14ac:dyDescent="0.2">
      <c r="A31" s="8">
        <v>4</v>
      </c>
      <c r="B31" s="8">
        <v>3</v>
      </c>
      <c r="C31" s="8">
        <v>4</v>
      </c>
      <c r="D31" s="588" t="s">
        <v>57</v>
      </c>
      <c r="E31" s="589"/>
      <c r="F31" s="18">
        <v>0</v>
      </c>
      <c r="G31" s="18">
        <v>0</v>
      </c>
      <c r="H31" s="18"/>
      <c r="I31" s="117">
        <v>5</v>
      </c>
      <c r="J31" s="117">
        <v>3</v>
      </c>
      <c r="K31" s="117">
        <v>2</v>
      </c>
      <c r="L31" s="584" t="s">
        <v>76</v>
      </c>
      <c r="M31" s="584"/>
      <c r="N31" s="18">
        <v>0</v>
      </c>
      <c r="O31" s="373">
        <v>0</v>
      </c>
    </row>
    <row r="32" spans="1:15" x14ac:dyDescent="0.2">
      <c r="A32" s="8">
        <v>4</v>
      </c>
      <c r="B32" s="8">
        <v>3</v>
      </c>
      <c r="C32" s="8">
        <v>9</v>
      </c>
      <c r="D32" s="588" t="s">
        <v>58</v>
      </c>
      <c r="E32" s="589"/>
      <c r="F32" s="18">
        <v>0</v>
      </c>
      <c r="G32" s="18">
        <v>0</v>
      </c>
      <c r="H32" s="18"/>
      <c r="I32" s="117">
        <v>5</v>
      </c>
      <c r="J32" s="117">
        <v>3</v>
      </c>
      <c r="K32" s="117">
        <v>3</v>
      </c>
      <c r="L32" s="584" t="s">
        <v>77</v>
      </c>
      <c r="M32" s="584"/>
      <c r="N32" s="18">
        <v>0</v>
      </c>
      <c r="O32" s="373">
        <v>0</v>
      </c>
    </row>
    <row r="33" spans="4:15" x14ac:dyDescent="0.2">
      <c r="D33" s="390"/>
      <c r="E33" s="392"/>
      <c r="F33" s="16"/>
      <c r="G33" s="16"/>
      <c r="H33" s="16"/>
      <c r="I33" s="117"/>
      <c r="J33" s="117"/>
      <c r="K33" s="117"/>
      <c r="L33" s="168"/>
      <c r="M33" s="19"/>
      <c r="N33" s="20"/>
      <c r="O33" s="374"/>
    </row>
    <row r="34" spans="4:15" x14ac:dyDescent="0.2">
      <c r="D34" s="590" t="s">
        <v>59</v>
      </c>
      <c r="E34" s="591"/>
      <c r="F34" s="22">
        <f>F13+F23+F27</f>
        <v>5903496</v>
      </c>
      <c r="G34" s="22">
        <f>G13+G23+G27</f>
        <v>15928878</v>
      </c>
      <c r="H34" s="22"/>
      <c r="I34" s="117"/>
      <c r="J34" s="117"/>
      <c r="K34" s="117"/>
      <c r="L34" s="587" t="s">
        <v>78</v>
      </c>
      <c r="M34" s="587"/>
      <c r="N34" s="23">
        <f>SUM(N35:N39)</f>
        <v>0</v>
      </c>
      <c r="O34" s="375">
        <f>SUM(O35:O39)</f>
        <v>0</v>
      </c>
    </row>
    <row r="35" spans="4:15" x14ac:dyDescent="0.2">
      <c r="D35" s="393"/>
      <c r="E35" s="394"/>
      <c r="F35" s="377"/>
      <c r="G35" s="378"/>
      <c r="H35" s="378"/>
      <c r="I35" s="117">
        <v>5</v>
      </c>
      <c r="J35" s="117">
        <v>4</v>
      </c>
      <c r="K35" s="117">
        <v>1</v>
      </c>
      <c r="L35" s="584" t="s">
        <v>79</v>
      </c>
      <c r="M35" s="584"/>
      <c r="N35" s="18">
        <v>0</v>
      </c>
      <c r="O35" s="373">
        <v>0</v>
      </c>
    </row>
    <row r="36" spans="4:15" x14ac:dyDescent="0.2">
      <c r="D36" s="379"/>
      <c r="E36" s="87"/>
      <c r="F36" s="378"/>
      <c r="G36" s="378"/>
      <c r="H36" s="378"/>
      <c r="I36" s="117">
        <v>5</v>
      </c>
      <c r="J36" s="117">
        <v>4</v>
      </c>
      <c r="K36" s="117">
        <v>2</v>
      </c>
      <c r="L36" s="584" t="s">
        <v>80</v>
      </c>
      <c r="M36" s="584"/>
      <c r="N36" s="18">
        <v>0</v>
      </c>
      <c r="O36" s="373">
        <v>0</v>
      </c>
    </row>
    <row r="37" spans="4:15" x14ac:dyDescent="0.2">
      <c r="D37" s="379"/>
      <c r="E37" s="87"/>
      <c r="F37" s="378"/>
      <c r="G37" s="378"/>
      <c r="H37" s="378"/>
      <c r="I37" s="117">
        <v>5</v>
      </c>
      <c r="J37" s="117">
        <v>4</v>
      </c>
      <c r="K37" s="117">
        <v>3</v>
      </c>
      <c r="L37" s="584" t="s">
        <v>81</v>
      </c>
      <c r="M37" s="584"/>
      <c r="N37" s="18">
        <v>0</v>
      </c>
      <c r="O37" s="373">
        <v>0</v>
      </c>
    </row>
    <row r="38" spans="4:15" x14ac:dyDescent="0.2">
      <c r="D38" s="379"/>
      <c r="E38" s="87"/>
      <c r="F38" s="378"/>
      <c r="G38" s="378"/>
      <c r="H38" s="378"/>
      <c r="I38" s="117">
        <v>5</v>
      </c>
      <c r="J38" s="117">
        <v>4</v>
      </c>
      <c r="K38" s="117">
        <v>4</v>
      </c>
      <c r="L38" s="584" t="s">
        <v>82</v>
      </c>
      <c r="M38" s="584"/>
      <c r="N38" s="18">
        <v>0</v>
      </c>
      <c r="O38" s="373">
        <v>0</v>
      </c>
    </row>
    <row r="39" spans="4:15" x14ac:dyDescent="0.2">
      <c r="D39" s="376"/>
      <c r="E39" s="87"/>
      <c r="F39" s="378"/>
      <c r="G39" s="378"/>
      <c r="H39" s="378"/>
      <c r="I39" s="117">
        <v>5</v>
      </c>
      <c r="J39" s="117">
        <v>4</v>
      </c>
      <c r="K39" s="117">
        <v>5</v>
      </c>
      <c r="L39" s="584" t="s">
        <v>83</v>
      </c>
      <c r="M39" s="584"/>
      <c r="N39" s="18">
        <v>0</v>
      </c>
      <c r="O39" s="373">
        <v>0</v>
      </c>
    </row>
    <row r="40" spans="4:15" x14ac:dyDescent="0.2">
      <c r="D40" s="376"/>
      <c r="E40" s="87"/>
      <c r="F40" s="377"/>
      <c r="G40" s="378"/>
      <c r="H40" s="378"/>
      <c r="I40" s="117"/>
      <c r="J40" s="117"/>
      <c r="K40" s="117"/>
      <c r="L40" s="168"/>
      <c r="M40" s="19"/>
      <c r="N40" s="20"/>
      <c r="O40" s="374"/>
    </row>
    <row r="41" spans="4:15" x14ac:dyDescent="0.2">
      <c r="D41" s="379"/>
      <c r="E41" s="87"/>
      <c r="F41" s="378"/>
      <c r="G41" s="378"/>
      <c r="H41" s="378"/>
      <c r="I41" s="117"/>
      <c r="J41" s="117"/>
      <c r="K41" s="117"/>
      <c r="L41" s="585" t="s">
        <v>84</v>
      </c>
      <c r="M41" s="585"/>
      <c r="N41" s="23">
        <f>SUM(N42:N47)</f>
        <v>178500</v>
      </c>
      <c r="O41" s="375">
        <f>SUM(O42:O47)</f>
        <v>0</v>
      </c>
    </row>
    <row r="42" spans="4:15" x14ac:dyDescent="0.2">
      <c r="D42" s="379"/>
      <c r="E42" s="87"/>
      <c r="F42" s="378"/>
      <c r="G42" s="378"/>
      <c r="H42" s="378"/>
      <c r="I42" s="117">
        <v>5</v>
      </c>
      <c r="J42" s="117">
        <v>5</v>
      </c>
      <c r="K42" s="117">
        <v>1</v>
      </c>
      <c r="L42" s="584" t="s">
        <v>85</v>
      </c>
      <c r="M42" s="584"/>
      <c r="N42" s="18">
        <v>0</v>
      </c>
      <c r="O42" s="373">
        <v>0</v>
      </c>
    </row>
    <row r="43" spans="4:15" x14ac:dyDescent="0.2">
      <c r="D43" s="379"/>
      <c r="E43" s="87"/>
      <c r="F43" s="378"/>
      <c r="G43" s="378"/>
      <c r="H43" s="378"/>
      <c r="I43" s="117">
        <v>5</v>
      </c>
      <c r="J43" s="117">
        <v>5</v>
      </c>
      <c r="K43" s="117">
        <v>2</v>
      </c>
      <c r="L43" s="584" t="s">
        <v>86</v>
      </c>
      <c r="M43" s="584"/>
      <c r="N43" s="18">
        <v>0</v>
      </c>
      <c r="O43" s="373">
        <v>0</v>
      </c>
    </row>
    <row r="44" spans="4:15" x14ac:dyDescent="0.2">
      <c r="D44" s="379"/>
      <c r="E44" s="87"/>
      <c r="F44" s="378"/>
      <c r="G44" s="378"/>
      <c r="H44" s="378"/>
      <c r="I44" s="117">
        <v>5</v>
      </c>
      <c r="J44" s="117">
        <v>5</v>
      </c>
      <c r="K44" s="117">
        <v>3</v>
      </c>
      <c r="L44" s="584" t="s">
        <v>87</v>
      </c>
      <c r="M44" s="584"/>
      <c r="N44" s="18">
        <v>0</v>
      </c>
      <c r="O44" s="373">
        <v>0</v>
      </c>
    </row>
    <row r="45" spans="4:15" x14ac:dyDescent="0.2">
      <c r="D45" s="379"/>
      <c r="E45" s="87"/>
      <c r="F45" s="378"/>
      <c r="G45" s="378"/>
      <c r="H45" s="378"/>
      <c r="I45" s="117">
        <v>5</v>
      </c>
      <c r="J45" s="117">
        <v>5</v>
      </c>
      <c r="K45" s="117">
        <v>4</v>
      </c>
      <c r="L45" s="584" t="s">
        <v>88</v>
      </c>
      <c r="M45" s="584"/>
      <c r="N45" s="18">
        <v>0</v>
      </c>
      <c r="O45" s="373">
        <v>0</v>
      </c>
    </row>
    <row r="46" spans="4:15" x14ac:dyDescent="0.2">
      <c r="D46" s="376"/>
      <c r="E46" s="87"/>
      <c r="F46" s="378"/>
      <c r="G46" s="378"/>
      <c r="H46" s="378"/>
      <c r="I46" s="117">
        <v>5</v>
      </c>
      <c r="J46" s="117">
        <v>5</v>
      </c>
      <c r="K46" s="117">
        <v>5</v>
      </c>
      <c r="L46" s="584" t="s">
        <v>89</v>
      </c>
      <c r="M46" s="584"/>
      <c r="N46" s="18">
        <v>0</v>
      </c>
      <c r="O46" s="373">
        <v>0</v>
      </c>
    </row>
    <row r="47" spans="4:15" x14ac:dyDescent="0.2">
      <c r="D47" s="376"/>
      <c r="E47" s="87"/>
      <c r="F47" s="377"/>
      <c r="G47" s="365"/>
      <c r="H47" s="365"/>
      <c r="I47" s="117">
        <v>5</v>
      </c>
      <c r="J47" s="117">
        <v>5</v>
      </c>
      <c r="K47" s="117">
        <v>9</v>
      </c>
      <c r="L47" s="584" t="s">
        <v>90</v>
      </c>
      <c r="M47" s="584"/>
      <c r="N47" s="18">
        <f>BALANZA!J674</f>
        <v>178500</v>
      </c>
      <c r="O47" s="373">
        <f>BALANZA!G674</f>
        <v>0</v>
      </c>
    </row>
    <row r="48" spans="4:15" x14ac:dyDescent="0.2">
      <c r="D48" s="379"/>
      <c r="E48" s="87"/>
      <c r="F48" s="378"/>
      <c r="G48" s="365"/>
      <c r="H48" s="365"/>
      <c r="I48" s="117"/>
      <c r="J48" s="117"/>
      <c r="K48" s="117"/>
      <c r="L48" s="168"/>
      <c r="M48" s="19"/>
      <c r="N48" s="20"/>
      <c r="O48" s="374"/>
    </row>
    <row r="49" spans="1:15" x14ac:dyDescent="0.2">
      <c r="D49" s="379"/>
      <c r="E49" s="87"/>
      <c r="F49" s="378"/>
      <c r="G49" s="365"/>
      <c r="H49" s="365"/>
      <c r="I49" s="117"/>
      <c r="J49" s="117"/>
      <c r="K49" s="117"/>
      <c r="L49" s="585" t="s">
        <v>91</v>
      </c>
      <c r="M49" s="585"/>
      <c r="N49" s="23">
        <f>N50</f>
        <v>0</v>
      </c>
      <c r="O49" s="375">
        <f>O50</f>
        <v>0</v>
      </c>
    </row>
    <row r="50" spans="1:15" x14ac:dyDescent="0.2">
      <c r="D50" s="379"/>
      <c r="E50" s="87"/>
      <c r="F50" s="378"/>
      <c r="G50" s="365"/>
      <c r="H50" s="365"/>
      <c r="I50" s="117"/>
      <c r="J50" s="117"/>
      <c r="K50" s="117"/>
      <c r="L50" s="584" t="s">
        <v>92</v>
      </c>
      <c r="M50" s="584"/>
      <c r="N50" s="18">
        <v>0</v>
      </c>
      <c r="O50" s="373">
        <v>0</v>
      </c>
    </row>
    <row r="51" spans="1:15" x14ac:dyDescent="0.2">
      <c r="D51" s="376"/>
      <c r="E51" s="87"/>
      <c r="F51" s="365"/>
      <c r="G51" s="365"/>
      <c r="H51" s="365"/>
      <c r="I51" s="117"/>
      <c r="J51" s="117"/>
      <c r="K51" s="117"/>
      <c r="L51" s="168"/>
      <c r="M51" s="19"/>
      <c r="N51" s="20"/>
      <c r="O51" s="374"/>
    </row>
    <row r="52" spans="1:15" x14ac:dyDescent="0.2">
      <c r="D52" s="376"/>
      <c r="E52" s="87"/>
      <c r="F52" s="365"/>
      <c r="G52" s="365"/>
      <c r="H52" s="365"/>
      <c r="I52" s="117"/>
      <c r="J52" s="117"/>
      <c r="K52" s="117"/>
      <c r="L52" s="586" t="s">
        <v>93</v>
      </c>
      <c r="M52" s="586"/>
      <c r="N52" s="24">
        <f>N13+N18+N29+N34+N41+N49</f>
        <v>5431090</v>
      </c>
      <c r="O52" s="380">
        <f>O13+O18+O29+O34+O41+O49</f>
        <v>16196320</v>
      </c>
    </row>
    <row r="53" spans="1:15" x14ac:dyDescent="0.2">
      <c r="D53" s="376"/>
      <c r="E53" s="87"/>
      <c r="F53" s="377"/>
      <c r="G53" s="365"/>
      <c r="H53" s="365"/>
      <c r="I53" s="117"/>
      <c r="J53" s="117"/>
      <c r="K53" s="117"/>
      <c r="L53" s="167"/>
      <c r="M53" s="167"/>
      <c r="N53" s="20"/>
      <c r="O53" s="374"/>
    </row>
    <row r="54" spans="1:15" x14ac:dyDescent="0.2">
      <c r="D54" s="381"/>
      <c r="E54" s="382"/>
      <c r="F54" s="383"/>
      <c r="G54" s="383"/>
      <c r="H54" s="383"/>
      <c r="I54" s="384">
        <v>3</v>
      </c>
      <c r="J54" s="384">
        <v>2</v>
      </c>
      <c r="K54" s="384">
        <v>1</v>
      </c>
      <c r="L54" s="583" t="s">
        <v>94</v>
      </c>
      <c r="M54" s="583"/>
      <c r="N54" s="385">
        <f>F34-N52</f>
        <v>472406</v>
      </c>
      <c r="O54" s="386">
        <f>G34-O52</f>
        <v>-267442</v>
      </c>
    </row>
    <row r="55" spans="1:15" x14ac:dyDescent="0.2">
      <c r="D55" s="387"/>
      <c r="E55" s="388"/>
      <c r="F55" s="389"/>
      <c r="G55" s="389"/>
      <c r="H55" s="389"/>
      <c r="I55" s="329"/>
      <c r="J55" s="329"/>
      <c r="K55" s="329"/>
      <c r="L55" s="388"/>
      <c r="M55" s="388"/>
      <c r="N55" s="388"/>
      <c r="O55" s="388"/>
    </row>
    <row r="56" spans="1:15" s="12" customFormat="1" x14ac:dyDescent="0.2">
      <c r="A56" s="8"/>
      <c r="B56" s="8"/>
      <c r="C56" s="8"/>
      <c r="D56" s="581" t="s">
        <v>152</v>
      </c>
      <c r="E56" s="581"/>
      <c r="F56" s="581"/>
      <c r="G56" s="581"/>
      <c r="H56" s="581"/>
      <c r="I56" s="581"/>
      <c r="J56" s="581"/>
      <c r="K56" s="581"/>
      <c r="L56" s="581"/>
      <c r="M56" s="581"/>
      <c r="N56" s="581"/>
      <c r="O56" s="581"/>
    </row>
    <row r="57" spans="1:15" s="12" customFormat="1" x14ac:dyDescent="0.2">
      <c r="A57" s="8"/>
      <c r="B57" s="8"/>
      <c r="C57" s="8"/>
      <c r="D57" s="2"/>
      <c r="F57" s="11"/>
      <c r="G57" s="9"/>
      <c r="H57" s="9"/>
      <c r="I57" s="8"/>
      <c r="J57" s="8"/>
      <c r="K57" s="8"/>
    </row>
    <row r="58" spans="1:15" s="12" customFormat="1" x14ac:dyDescent="0.2">
      <c r="A58" s="8"/>
      <c r="B58" s="8"/>
      <c r="C58" s="8"/>
      <c r="D58" s="2"/>
      <c r="F58" s="11"/>
      <c r="G58" s="9"/>
      <c r="H58" s="9"/>
      <c r="I58" s="8"/>
      <c r="J58" s="8"/>
      <c r="K58" s="8"/>
    </row>
    <row r="59" spans="1:15" s="12" customFormat="1" ht="15" customHeight="1" x14ac:dyDescent="0.2">
      <c r="A59" s="8"/>
      <c r="B59" s="8"/>
      <c r="C59" s="8"/>
      <c r="D59" s="582"/>
      <c r="E59" s="582"/>
      <c r="F59" s="11"/>
      <c r="G59" s="9"/>
      <c r="H59" s="9"/>
      <c r="I59" s="8"/>
      <c r="J59" s="8"/>
      <c r="K59" s="8"/>
    </row>
    <row r="60" spans="1:15" s="12" customFormat="1" x14ac:dyDescent="0.2">
      <c r="A60" s="8"/>
      <c r="B60" s="8"/>
      <c r="C60" s="8"/>
      <c r="D60" s="578" t="str">
        <f>BALANZA!Q1</f>
        <v>Dr. Alfredo Cuecuecha Mendoza</v>
      </c>
      <c r="E60" s="578"/>
      <c r="F60" s="11"/>
      <c r="G60" s="9"/>
      <c r="H60" s="9"/>
      <c r="I60" s="8"/>
      <c r="J60" s="8"/>
      <c r="K60" s="8"/>
      <c r="L60" s="579" t="str">
        <f>BALANZA!Q3</f>
        <v>C.P. José Santiago Ortega Vega</v>
      </c>
      <c r="M60" s="579"/>
    </row>
    <row r="61" spans="1:15" x14ac:dyDescent="0.2">
      <c r="D61" s="580" t="str">
        <f>BALANZA!Q2</f>
        <v>Presidente de la Junta de Gobierno</v>
      </c>
      <c r="E61" s="580"/>
      <c r="F61" s="9"/>
      <c r="G61" s="9"/>
      <c r="H61" s="9"/>
      <c r="I61" s="8"/>
      <c r="J61" s="8"/>
      <c r="K61" s="8"/>
      <c r="L61" s="580" t="str">
        <f>BALANZA!Q4</f>
        <v>Director Administrativo</v>
      </c>
      <c r="M61" s="580"/>
    </row>
    <row r="62" spans="1:15" x14ac:dyDescent="0.2">
      <c r="D62" s="12"/>
      <c r="E62" s="9"/>
      <c r="F62" s="9"/>
      <c r="G62" s="9"/>
      <c r="H62" s="9"/>
      <c r="I62" s="27"/>
      <c r="J62" s="27"/>
    </row>
    <row r="63" spans="1:15" x14ac:dyDescent="0.2">
      <c r="A63" s="10" t="s">
        <v>23</v>
      </c>
      <c r="D63" s="2"/>
      <c r="F63" s="9"/>
      <c r="G63" s="9"/>
      <c r="H63" s="1"/>
      <c r="I63" s="10" t="s">
        <v>23</v>
      </c>
      <c r="J63" s="27"/>
      <c r="K63" s="27"/>
      <c r="L63" s="6"/>
    </row>
    <row r="64" spans="1:15" x14ac:dyDescent="0.2">
      <c r="A64" s="8" t="s">
        <v>12</v>
      </c>
      <c r="B64" s="10" t="s">
        <v>13</v>
      </c>
      <c r="D64" s="2"/>
      <c r="F64" s="9"/>
      <c r="G64" s="9"/>
      <c r="H64" s="1"/>
      <c r="I64" s="8" t="s">
        <v>22</v>
      </c>
      <c r="J64" s="10" t="s">
        <v>13</v>
      </c>
      <c r="K64" s="8"/>
      <c r="L64" s="2"/>
    </row>
    <row r="65" spans="1:12" x14ac:dyDescent="0.2">
      <c r="A65" s="8" t="s">
        <v>5</v>
      </c>
      <c r="B65" s="10" t="s">
        <v>14</v>
      </c>
      <c r="D65" s="2"/>
      <c r="F65" s="9"/>
      <c r="G65" s="9"/>
      <c r="H65" s="1"/>
      <c r="I65" s="8" t="s">
        <v>24</v>
      </c>
      <c r="J65" s="10" t="s">
        <v>14</v>
      </c>
      <c r="K65" s="8"/>
      <c r="L65" s="2"/>
    </row>
    <row r="66" spans="1:12" x14ac:dyDescent="0.2">
      <c r="A66" s="8" t="s">
        <v>15</v>
      </c>
      <c r="B66" s="10" t="s">
        <v>16</v>
      </c>
      <c r="D66" s="2"/>
      <c r="F66" s="9"/>
      <c r="G66" s="9"/>
      <c r="H66" s="1"/>
      <c r="I66" s="8" t="s">
        <v>25</v>
      </c>
      <c r="J66" s="10" t="s">
        <v>16</v>
      </c>
      <c r="K66" s="8"/>
      <c r="L66" s="2"/>
    </row>
    <row r="67" spans="1:12" x14ac:dyDescent="0.2">
      <c r="A67" s="8" t="s">
        <v>17</v>
      </c>
      <c r="B67" s="10" t="s">
        <v>19</v>
      </c>
      <c r="D67" s="2"/>
      <c r="F67" s="9"/>
      <c r="G67" s="9"/>
      <c r="H67" s="1"/>
      <c r="I67" s="8" t="s">
        <v>33</v>
      </c>
      <c r="J67" s="10" t="s">
        <v>19</v>
      </c>
      <c r="K67" s="8"/>
      <c r="L67" s="2"/>
    </row>
    <row r="68" spans="1:12" x14ac:dyDescent="0.2">
      <c r="A68" s="8" t="s">
        <v>20</v>
      </c>
      <c r="B68" s="10" t="s">
        <v>21</v>
      </c>
      <c r="D68" s="2"/>
      <c r="F68" s="9"/>
      <c r="G68" s="9"/>
      <c r="H68" s="1"/>
      <c r="I68" s="8" t="s">
        <v>26</v>
      </c>
      <c r="J68" s="10" t="s">
        <v>21</v>
      </c>
      <c r="K68" s="8"/>
      <c r="L68" s="2"/>
    </row>
    <row r="69" spans="1:12" x14ac:dyDescent="0.2">
      <c r="A69" s="8" t="s">
        <v>22</v>
      </c>
      <c r="B69" s="10" t="s">
        <v>37</v>
      </c>
      <c r="D69" s="2"/>
      <c r="F69" s="9"/>
      <c r="G69" s="9"/>
      <c r="H69" s="1"/>
      <c r="I69" s="8" t="s">
        <v>27</v>
      </c>
      <c r="J69" s="10" t="s">
        <v>37</v>
      </c>
      <c r="K69" s="8"/>
      <c r="L69" s="2"/>
    </row>
    <row r="70" spans="1:12" x14ac:dyDescent="0.2">
      <c r="D70" s="2"/>
      <c r="F70" s="9"/>
      <c r="G70" s="9"/>
      <c r="H70" s="9"/>
      <c r="I70" s="27"/>
      <c r="J70" s="27"/>
    </row>
    <row r="71" spans="1:12" x14ac:dyDescent="0.2">
      <c r="D71" s="2"/>
      <c r="F71" s="9"/>
      <c r="G71" s="9"/>
      <c r="H71" s="9"/>
      <c r="I71" s="27"/>
      <c r="J71" s="27"/>
    </row>
    <row r="72" spans="1:12" x14ac:dyDescent="0.2">
      <c r="D72" s="2"/>
      <c r="F72" s="9"/>
      <c r="G72" s="9"/>
      <c r="H72" s="9"/>
      <c r="I72" s="27"/>
      <c r="J72" s="27"/>
    </row>
    <row r="73" spans="1:12" x14ac:dyDescent="0.2">
      <c r="D73" s="2"/>
      <c r="F73" s="9"/>
      <c r="G73" s="9"/>
      <c r="H73" s="9"/>
      <c r="I73" s="27"/>
      <c r="J73" s="27"/>
    </row>
    <row r="74" spans="1:12" x14ac:dyDescent="0.2">
      <c r="D74" s="2"/>
      <c r="F74" s="9"/>
      <c r="G74" s="9"/>
      <c r="H74" s="9"/>
      <c r="I74" s="27"/>
      <c r="J74" s="27"/>
    </row>
    <row r="75" spans="1:12" x14ac:dyDescent="0.2">
      <c r="D75" s="2"/>
      <c r="F75" s="9"/>
      <c r="G75" s="9"/>
      <c r="H75" s="9"/>
      <c r="I75" s="27"/>
      <c r="J75" s="27"/>
    </row>
    <row r="76" spans="1:12" x14ac:dyDescent="0.2">
      <c r="D76" s="2"/>
      <c r="F76" s="9"/>
      <c r="G76" s="9"/>
      <c r="H76" s="9"/>
      <c r="I76" s="27"/>
      <c r="J76" s="27"/>
    </row>
    <row r="77" spans="1:12" x14ac:dyDescent="0.2">
      <c r="D77" s="2"/>
      <c r="F77" s="9"/>
      <c r="G77" s="9"/>
      <c r="H77" s="9"/>
      <c r="I77" s="27"/>
      <c r="J77" s="27"/>
    </row>
    <row r="78" spans="1:12" x14ac:dyDescent="0.2">
      <c r="D78" s="2"/>
      <c r="F78" s="9"/>
      <c r="G78" s="9"/>
      <c r="H78" s="9"/>
      <c r="I78" s="27"/>
      <c r="J78" s="27"/>
    </row>
    <row r="79" spans="1:12" x14ac:dyDescent="0.2">
      <c r="D79" s="2"/>
      <c r="F79" s="9"/>
      <c r="G79" s="9"/>
      <c r="H79" s="9"/>
      <c r="I79" s="27"/>
      <c r="J79" s="27"/>
    </row>
    <row r="80" spans="1:12" x14ac:dyDescent="0.2">
      <c r="D80" s="2"/>
      <c r="F80" s="9"/>
      <c r="G80" s="9"/>
      <c r="H80" s="9"/>
      <c r="I80" s="27"/>
      <c r="J80" s="27"/>
    </row>
    <row r="81" spans="4:10" x14ac:dyDescent="0.2">
      <c r="D81" s="2"/>
      <c r="F81" s="9"/>
      <c r="G81" s="9"/>
      <c r="H81" s="9"/>
      <c r="I81" s="27"/>
      <c r="J81" s="27"/>
    </row>
    <row r="82" spans="4:10" x14ac:dyDescent="0.2">
      <c r="D82" s="2"/>
      <c r="F82" s="9"/>
      <c r="G82" s="9"/>
      <c r="H82" s="9"/>
      <c r="I82" s="27"/>
      <c r="J82" s="27"/>
    </row>
    <row r="83" spans="4:10" x14ac:dyDescent="0.2">
      <c r="D83" s="2"/>
      <c r="F83" s="9"/>
      <c r="G83" s="9"/>
      <c r="H83" s="9"/>
      <c r="I83" s="27"/>
      <c r="J83" s="27"/>
    </row>
    <row r="84" spans="4:10" x14ac:dyDescent="0.2">
      <c r="D84" s="2"/>
      <c r="F84" s="9"/>
      <c r="G84" s="9"/>
      <c r="H84" s="9"/>
      <c r="I84" s="27"/>
      <c r="J84" s="27"/>
    </row>
    <row r="85" spans="4:10" x14ac:dyDescent="0.2">
      <c r="D85" s="2"/>
      <c r="F85" s="9"/>
      <c r="G85" s="9"/>
      <c r="H85" s="9"/>
      <c r="I85" s="27"/>
      <c r="J85" s="27"/>
    </row>
    <row r="86" spans="4:10" x14ac:dyDescent="0.2">
      <c r="D86" s="2"/>
      <c r="F86" s="9"/>
      <c r="G86" s="9"/>
      <c r="H86" s="9"/>
      <c r="I86" s="27"/>
      <c r="J86" s="27"/>
    </row>
    <row r="87" spans="4:10" x14ac:dyDescent="0.2">
      <c r="D87" s="2"/>
      <c r="F87" s="9"/>
      <c r="G87" s="9"/>
      <c r="H87" s="9"/>
      <c r="I87" s="27"/>
      <c r="J87" s="27"/>
    </row>
    <row r="88" spans="4:10" x14ac:dyDescent="0.2">
      <c r="D88" s="2"/>
      <c r="F88" s="9"/>
      <c r="G88" s="9"/>
      <c r="H88" s="9"/>
      <c r="I88" s="27"/>
      <c r="J88" s="27"/>
    </row>
    <row r="89" spans="4:10" x14ac:dyDescent="0.2">
      <c r="D89" s="2"/>
      <c r="F89" s="9"/>
      <c r="G89" s="9"/>
      <c r="H89" s="9"/>
      <c r="I89" s="27"/>
      <c r="J89" s="27"/>
    </row>
    <row r="90" spans="4:10" x14ac:dyDescent="0.2">
      <c r="D90" s="2"/>
      <c r="F90" s="9"/>
      <c r="G90" s="9"/>
      <c r="H90" s="9"/>
      <c r="I90" s="27"/>
      <c r="J90" s="27"/>
    </row>
    <row r="91" spans="4:10" x14ac:dyDescent="0.2">
      <c r="D91" s="2"/>
      <c r="F91" s="9"/>
      <c r="G91" s="9"/>
      <c r="H91" s="9"/>
      <c r="I91" s="27"/>
      <c r="J91" s="27"/>
    </row>
    <row r="92" spans="4:10" x14ac:dyDescent="0.2">
      <c r="D92" s="2"/>
      <c r="F92" s="9"/>
      <c r="G92" s="9"/>
      <c r="H92" s="9"/>
      <c r="I92" s="27"/>
      <c r="J92" s="27"/>
    </row>
    <row r="93" spans="4:10" x14ac:dyDescent="0.2">
      <c r="D93" s="2"/>
      <c r="F93" s="9"/>
      <c r="G93" s="9"/>
      <c r="H93" s="9"/>
      <c r="I93" s="27"/>
      <c r="J93" s="27"/>
    </row>
    <row r="94" spans="4:10" x14ac:dyDescent="0.2">
      <c r="D94" s="2"/>
      <c r="F94" s="9"/>
      <c r="G94" s="9"/>
      <c r="H94" s="9"/>
      <c r="I94" s="27"/>
      <c r="J94" s="27"/>
    </row>
    <row r="95" spans="4:10" x14ac:dyDescent="0.2">
      <c r="D95" s="2"/>
      <c r="F95" s="9"/>
      <c r="G95" s="9"/>
      <c r="H95" s="9"/>
      <c r="I95" s="27"/>
      <c r="J95" s="27"/>
    </row>
    <row r="96" spans="4:10" x14ac:dyDescent="0.2">
      <c r="D96" s="2"/>
      <c r="F96" s="9"/>
      <c r="G96" s="9"/>
      <c r="H96" s="9"/>
      <c r="I96" s="27"/>
      <c r="J96" s="27"/>
    </row>
    <row r="97" spans="4:10" x14ac:dyDescent="0.2">
      <c r="D97" s="2"/>
      <c r="F97" s="9"/>
      <c r="G97" s="9"/>
      <c r="H97" s="9"/>
      <c r="I97" s="27"/>
      <c r="J97" s="27"/>
    </row>
    <row r="98" spans="4:10" x14ac:dyDescent="0.2">
      <c r="D98" s="2"/>
      <c r="F98" s="9"/>
      <c r="G98" s="9"/>
      <c r="H98" s="9"/>
      <c r="I98" s="27"/>
      <c r="J98" s="27"/>
    </row>
    <row r="99" spans="4:10" x14ac:dyDescent="0.2">
      <c r="D99" s="2"/>
      <c r="F99" s="9"/>
      <c r="G99" s="9"/>
      <c r="H99" s="9"/>
      <c r="I99" s="27"/>
      <c r="J99" s="27"/>
    </row>
    <row r="100" spans="4:10" x14ac:dyDescent="0.2">
      <c r="D100" s="2"/>
      <c r="F100" s="9"/>
      <c r="G100" s="9"/>
      <c r="H100" s="9"/>
      <c r="I100" s="27"/>
      <c r="J100" s="27"/>
    </row>
    <row r="101" spans="4:10" x14ac:dyDescent="0.2">
      <c r="D101" s="2"/>
      <c r="F101" s="9"/>
      <c r="G101" s="9"/>
      <c r="H101" s="9"/>
      <c r="I101" s="27"/>
      <c r="J101" s="27"/>
    </row>
    <row r="102" spans="4:10" x14ac:dyDescent="0.2">
      <c r="D102" s="2"/>
      <c r="F102" s="9"/>
      <c r="G102" s="9"/>
      <c r="H102" s="9"/>
      <c r="I102" s="27"/>
      <c r="J102" s="27"/>
    </row>
    <row r="103" spans="4:10" x14ac:dyDescent="0.2">
      <c r="D103" s="2"/>
      <c r="F103" s="9"/>
      <c r="G103" s="9"/>
      <c r="H103" s="9"/>
      <c r="I103" s="27"/>
      <c r="J103" s="27"/>
    </row>
    <row r="104" spans="4:10" x14ac:dyDescent="0.2">
      <c r="D104" s="2"/>
      <c r="F104" s="9"/>
      <c r="G104" s="9"/>
      <c r="H104" s="9"/>
      <c r="I104" s="27"/>
      <c r="J104" s="27"/>
    </row>
    <row r="105" spans="4:10" x14ac:dyDescent="0.2">
      <c r="D105" s="2"/>
      <c r="F105" s="9"/>
      <c r="G105" s="9"/>
      <c r="H105" s="9"/>
      <c r="I105" s="27"/>
      <c r="J105" s="27"/>
    </row>
    <row r="106" spans="4:10" x14ac:dyDescent="0.2">
      <c r="D106" s="2"/>
      <c r="F106" s="9"/>
      <c r="G106" s="9"/>
      <c r="H106" s="9"/>
      <c r="I106" s="27"/>
      <c r="J106" s="27"/>
    </row>
    <row r="107" spans="4:10" x14ac:dyDescent="0.2">
      <c r="D107" s="2"/>
      <c r="F107" s="9"/>
      <c r="G107" s="9"/>
      <c r="H107" s="9"/>
      <c r="I107" s="27"/>
      <c r="J107" s="27"/>
    </row>
    <row r="108" spans="4:10" x14ac:dyDescent="0.2">
      <c r="D108" s="2"/>
      <c r="F108" s="9"/>
      <c r="G108" s="9"/>
      <c r="H108" s="9"/>
      <c r="I108" s="27"/>
      <c r="J108" s="27"/>
    </row>
    <row r="109" spans="4:10" x14ac:dyDescent="0.2">
      <c r="D109" s="2"/>
      <c r="F109" s="9"/>
      <c r="G109" s="9"/>
      <c r="H109" s="9"/>
      <c r="I109" s="27"/>
      <c r="J109" s="27"/>
    </row>
    <row r="110" spans="4:10" x14ac:dyDescent="0.2">
      <c r="D110" s="2"/>
      <c r="F110" s="9"/>
      <c r="G110" s="9"/>
      <c r="H110" s="9"/>
      <c r="I110" s="27"/>
      <c r="J110" s="27"/>
    </row>
    <row r="111" spans="4:10" x14ac:dyDescent="0.2">
      <c r="D111" s="2"/>
      <c r="F111" s="9"/>
      <c r="G111" s="9"/>
      <c r="H111" s="9"/>
      <c r="I111" s="27"/>
      <c r="J111" s="27"/>
    </row>
    <row r="112" spans="4:10" x14ac:dyDescent="0.2">
      <c r="D112" s="2"/>
      <c r="F112" s="9"/>
      <c r="G112" s="9"/>
      <c r="H112" s="9"/>
      <c r="I112" s="27"/>
      <c r="J112" s="27"/>
    </row>
    <row r="113" spans="4:10" x14ac:dyDescent="0.2">
      <c r="D113" s="2"/>
      <c r="F113" s="9"/>
      <c r="G113" s="9"/>
      <c r="H113" s="9"/>
      <c r="I113" s="27"/>
      <c r="J113" s="27"/>
    </row>
    <row r="114" spans="4:10" x14ac:dyDescent="0.2">
      <c r="D114" s="2"/>
      <c r="F114" s="9"/>
      <c r="G114" s="9"/>
      <c r="H114" s="9"/>
      <c r="I114" s="27"/>
      <c r="J114" s="27"/>
    </row>
    <row r="115" spans="4:10" x14ac:dyDescent="0.2">
      <c r="D115" s="2"/>
      <c r="F115" s="9"/>
      <c r="G115" s="9"/>
      <c r="H115" s="9"/>
      <c r="I115" s="27"/>
      <c r="J115" s="27"/>
    </row>
    <row r="116" spans="4:10" x14ac:dyDescent="0.2">
      <c r="D116" s="2"/>
      <c r="F116" s="9"/>
      <c r="G116" s="9"/>
      <c r="H116" s="9"/>
      <c r="I116" s="27"/>
      <c r="J116" s="27"/>
    </row>
    <row r="117" spans="4:10" x14ac:dyDescent="0.2">
      <c r="D117" s="2"/>
      <c r="F117" s="9"/>
      <c r="G117" s="9"/>
      <c r="H117" s="9"/>
      <c r="I117" s="27"/>
      <c r="J117" s="27"/>
    </row>
    <row r="118" spans="4:10" x14ac:dyDescent="0.2">
      <c r="D118" s="2"/>
      <c r="F118" s="9"/>
      <c r="G118" s="9"/>
      <c r="H118" s="9"/>
      <c r="I118" s="27"/>
      <c r="J118" s="27"/>
    </row>
    <row r="119" spans="4:10" x14ac:dyDescent="0.2">
      <c r="D119" s="2"/>
      <c r="F119" s="9"/>
      <c r="G119" s="9"/>
      <c r="H119" s="9"/>
      <c r="I119" s="27"/>
      <c r="J119" s="27"/>
    </row>
    <row r="120" spans="4:10" x14ac:dyDescent="0.2">
      <c r="D120" s="2"/>
      <c r="F120" s="9"/>
      <c r="G120" s="9"/>
      <c r="H120" s="9"/>
      <c r="I120" s="27"/>
      <c r="J120" s="27"/>
    </row>
    <row r="121" spans="4:10" x14ac:dyDescent="0.2">
      <c r="D121" s="2"/>
      <c r="F121" s="9"/>
      <c r="G121" s="9"/>
      <c r="H121" s="9"/>
      <c r="I121" s="27"/>
      <c r="J121" s="27"/>
    </row>
    <row r="122" spans="4:10" x14ac:dyDescent="0.2">
      <c r="D122" s="2"/>
      <c r="F122" s="9"/>
      <c r="G122" s="9"/>
      <c r="H122" s="9"/>
      <c r="I122" s="27"/>
      <c r="J122" s="27"/>
    </row>
    <row r="123" spans="4:10" x14ac:dyDescent="0.2">
      <c r="D123" s="2"/>
      <c r="F123" s="9"/>
      <c r="G123" s="9"/>
      <c r="H123" s="9"/>
      <c r="I123" s="27"/>
      <c r="J123" s="27"/>
    </row>
    <row r="124" spans="4:10" x14ac:dyDescent="0.2">
      <c r="D124" s="2"/>
      <c r="F124" s="9"/>
      <c r="G124" s="9"/>
      <c r="H124" s="9"/>
      <c r="I124" s="27"/>
      <c r="J124" s="27"/>
    </row>
    <row r="125" spans="4:10" x14ac:dyDescent="0.2">
      <c r="D125" s="2"/>
      <c r="F125" s="9"/>
      <c r="G125" s="9"/>
      <c r="H125" s="9"/>
      <c r="I125" s="27"/>
      <c r="J125" s="27"/>
    </row>
    <row r="126" spans="4:10" x14ac:dyDescent="0.2">
      <c r="D126" s="2"/>
      <c r="F126" s="9"/>
      <c r="G126" s="9"/>
      <c r="H126" s="9"/>
      <c r="I126" s="27"/>
      <c r="J126" s="27"/>
    </row>
    <row r="127" spans="4:10" x14ac:dyDescent="0.2">
      <c r="D127" s="2"/>
      <c r="F127" s="9"/>
      <c r="G127" s="9"/>
      <c r="H127" s="9"/>
      <c r="I127" s="27"/>
      <c r="J127" s="27"/>
    </row>
    <row r="128" spans="4:10" x14ac:dyDescent="0.2">
      <c r="D128" s="2"/>
      <c r="F128" s="9"/>
      <c r="G128" s="9"/>
      <c r="H128" s="9"/>
      <c r="I128" s="27"/>
      <c r="J128" s="27"/>
    </row>
    <row r="129" spans="4:10" x14ac:dyDescent="0.2">
      <c r="D129" s="2"/>
      <c r="F129" s="9"/>
      <c r="G129" s="9"/>
      <c r="H129" s="9"/>
      <c r="I129" s="27"/>
      <c r="J129" s="27"/>
    </row>
    <row r="130" spans="4:10" x14ac:dyDescent="0.2">
      <c r="D130" s="2"/>
      <c r="F130" s="9"/>
      <c r="G130" s="9"/>
      <c r="H130" s="9"/>
      <c r="I130" s="27"/>
      <c r="J130" s="27"/>
    </row>
    <row r="131" spans="4:10" x14ac:dyDescent="0.2">
      <c r="D131" s="2"/>
      <c r="F131" s="9"/>
      <c r="G131" s="9"/>
      <c r="H131" s="9"/>
      <c r="I131" s="27"/>
      <c r="J131" s="27"/>
    </row>
    <row r="132" spans="4:10" x14ac:dyDescent="0.2">
      <c r="D132" s="2"/>
      <c r="F132" s="9"/>
      <c r="G132" s="9"/>
      <c r="H132" s="9"/>
      <c r="I132" s="27"/>
      <c r="J132" s="27"/>
    </row>
    <row r="133" spans="4:10" x14ac:dyDescent="0.2">
      <c r="D133" s="2"/>
      <c r="F133" s="9"/>
      <c r="G133" s="9"/>
      <c r="H133" s="9"/>
      <c r="I133" s="27"/>
      <c r="J133" s="27"/>
    </row>
    <row r="134" spans="4:10" x14ac:dyDescent="0.2">
      <c r="D134" s="2"/>
      <c r="F134" s="9"/>
      <c r="G134" s="9"/>
      <c r="H134" s="9"/>
      <c r="I134" s="27"/>
      <c r="J134" s="27"/>
    </row>
    <row r="135" spans="4:10" x14ac:dyDescent="0.2">
      <c r="D135" s="2"/>
      <c r="F135" s="9"/>
      <c r="G135" s="9"/>
      <c r="H135" s="9"/>
      <c r="I135" s="27"/>
      <c r="J135" s="27"/>
    </row>
    <row r="136" spans="4:10" x14ac:dyDescent="0.2">
      <c r="D136" s="2"/>
      <c r="F136" s="9"/>
      <c r="G136" s="9"/>
      <c r="H136" s="9"/>
      <c r="I136" s="27"/>
      <c r="J136" s="27"/>
    </row>
    <row r="137" spans="4:10" x14ac:dyDescent="0.2">
      <c r="D137" s="2"/>
      <c r="F137" s="9"/>
      <c r="G137" s="9"/>
      <c r="H137" s="9"/>
      <c r="I137" s="27"/>
      <c r="J137" s="27"/>
    </row>
    <row r="138" spans="4:10" x14ac:dyDescent="0.2">
      <c r="D138" s="2"/>
      <c r="F138" s="9"/>
      <c r="G138" s="9"/>
      <c r="H138" s="9"/>
      <c r="I138" s="27"/>
      <c r="J138" s="27"/>
    </row>
    <row r="139" spans="4:10" x14ac:dyDescent="0.2">
      <c r="D139" s="2"/>
      <c r="F139" s="9"/>
      <c r="G139" s="9"/>
      <c r="H139" s="9"/>
      <c r="I139" s="27"/>
      <c r="J139" s="27"/>
    </row>
    <row r="140" spans="4:10" x14ac:dyDescent="0.2">
      <c r="D140" s="2"/>
      <c r="F140" s="9"/>
      <c r="G140" s="9"/>
      <c r="H140" s="9"/>
      <c r="I140" s="27"/>
      <c r="J140" s="27"/>
    </row>
    <row r="141" spans="4:10" x14ac:dyDescent="0.2">
      <c r="D141" s="2"/>
      <c r="F141" s="9"/>
      <c r="G141" s="9"/>
      <c r="H141" s="9"/>
      <c r="I141" s="27"/>
      <c r="J141" s="27"/>
    </row>
    <row r="142" spans="4:10" x14ac:dyDescent="0.2">
      <c r="D142" s="2"/>
      <c r="F142" s="9"/>
      <c r="G142" s="9"/>
      <c r="H142" s="9"/>
      <c r="I142" s="27"/>
      <c r="J142" s="27"/>
    </row>
    <row r="143" spans="4:10" x14ac:dyDescent="0.2">
      <c r="D143" s="2"/>
      <c r="F143" s="9"/>
      <c r="G143" s="9"/>
      <c r="H143" s="9"/>
      <c r="I143" s="27"/>
      <c r="J143" s="27"/>
    </row>
    <row r="144" spans="4:10" x14ac:dyDescent="0.2">
      <c r="D144" s="2"/>
      <c r="F144" s="9"/>
      <c r="G144" s="9"/>
      <c r="H144" s="9"/>
      <c r="I144" s="27"/>
      <c r="J144" s="27"/>
    </row>
    <row r="145" spans="4:10" x14ac:dyDescent="0.2">
      <c r="D145" s="2"/>
      <c r="F145" s="9"/>
      <c r="G145" s="9"/>
      <c r="H145" s="9"/>
      <c r="I145" s="27"/>
      <c r="J145" s="27"/>
    </row>
    <row r="146" spans="4:10" x14ac:dyDescent="0.2">
      <c r="D146" s="2"/>
    </row>
    <row r="147" spans="4:10" x14ac:dyDescent="0.2">
      <c r="D147" s="2"/>
    </row>
    <row r="148" spans="4:10" x14ac:dyDescent="0.2">
      <c r="D148" s="2"/>
    </row>
    <row r="149" spans="4:10" x14ac:dyDescent="0.2">
      <c r="D149" s="2"/>
    </row>
    <row r="150" spans="4:10" x14ac:dyDescent="0.2">
      <c r="D150" s="2"/>
    </row>
    <row r="151" spans="4:10" x14ac:dyDescent="0.2">
      <c r="D151" s="2"/>
    </row>
    <row r="152" spans="4:10" x14ac:dyDescent="0.2">
      <c r="D152" s="2"/>
    </row>
    <row r="153" spans="4:10" x14ac:dyDescent="0.2">
      <c r="D153" s="2"/>
    </row>
    <row r="154" spans="4:10" x14ac:dyDescent="0.2">
      <c r="D154" s="2"/>
    </row>
    <row r="155" spans="4:10" x14ac:dyDescent="0.2">
      <c r="D155" s="2"/>
    </row>
    <row r="156" spans="4:10" x14ac:dyDescent="0.2">
      <c r="D156" s="2"/>
    </row>
    <row r="157" spans="4:10" x14ac:dyDescent="0.2">
      <c r="D157" s="2"/>
    </row>
    <row r="158" spans="4:10" x14ac:dyDescent="0.2">
      <c r="D158" s="2"/>
    </row>
    <row r="159" spans="4:10" x14ac:dyDescent="0.2">
      <c r="D159" s="2"/>
    </row>
    <row r="160" spans="4:10" x14ac:dyDescent="0.2">
      <c r="D160" s="2"/>
    </row>
    <row r="161" spans="4:4" x14ac:dyDescent="0.2">
      <c r="D161" s="2"/>
    </row>
    <row r="162" spans="4:4" x14ac:dyDescent="0.2">
      <c r="D162" s="2"/>
    </row>
    <row r="163" spans="4:4" x14ac:dyDescent="0.2">
      <c r="D163" s="2"/>
    </row>
    <row r="164" spans="4:4" x14ac:dyDescent="0.2">
      <c r="D164" s="2"/>
    </row>
    <row r="165" spans="4:4" x14ac:dyDescent="0.2">
      <c r="D165" s="2"/>
    </row>
    <row r="166" spans="4:4" x14ac:dyDescent="0.2">
      <c r="D166" s="2"/>
    </row>
    <row r="167" spans="4:4" x14ac:dyDescent="0.2">
      <c r="D167" s="2"/>
    </row>
    <row r="168" spans="4:4" x14ac:dyDescent="0.2">
      <c r="D168" s="2"/>
    </row>
    <row r="169" spans="4:4" x14ac:dyDescent="0.2">
      <c r="D169" s="2"/>
    </row>
    <row r="170" spans="4:4" x14ac:dyDescent="0.2">
      <c r="D170" s="2"/>
    </row>
    <row r="171" spans="4:4" x14ac:dyDescent="0.2">
      <c r="D171" s="2"/>
    </row>
    <row r="172" spans="4:4" x14ac:dyDescent="0.2">
      <c r="D172" s="2"/>
    </row>
    <row r="173" spans="4:4" x14ac:dyDescent="0.2">
      <c r="D173" s="2"/>
    </row>
    <row r="174" spans="4:4" x14ac:dyDescent="0.2">
      <c r="D174" s="2"/>
    </row>
    <row r="175" spans="4:4" x14ac:dyDescent="0.2">
      <c r="D175" s="2"/>
    </row>
    <row r="176" spans="4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  <row r="207" spans="4:4" x14ac:dyDescent="0.2">
      <c r="D207" s="2"/>
    </row>
    <row r="208" spans="4:4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  <row r="213" spans="4:4" x14ac:dyDescent="0.2">
      <c r="D213" s="2"/>
    </row>
    <row r="214" spans="4:4" x14ac:dyDescent="0.2">
      <c r="D214" s="2"/>
    </row>
    <row r="215" spans="4:4" x14ac:dyDescent="0.2">
      <c r="D215" s="2"/>
    </row>
    <row r="216" spans="4:4" x14ac:dyDescent="0.2">
      <c r="D216" s="2"/>
    </row>
    <row r="217" spans="4:4" x14ac:dyDescent="0.2">
      <c r="D217" s="2"/>
    </row>
    <row r="218" spans="4:4" x14ac:dyDescent="0.2">
      <c r="D218" s="2"/>
    </row>
    <row r="219" spans="4:4" x14ac:dyDescent="0.2">
      <c r="D219" s="2"/>
    </row>
    <row r="220" spans="4:4" x14ac:dyDescent="0.2">
      <c r="D220" s="2"/>
    </row>
    <row r="221" spans="4:4" x14ac:dyDescent="0.2">
      <c r="D221" s="2"/>
    </row>
    <row r="222" spans="4:4" x14ac:dyDescent="0.2">
      <c r="D222" s="2"/>
    </row>
    <row r="223" spans="4:4" x14ac:dyDescent="0.2">
      <c r="D223" s="2"/>
    </row>
  </sheetData>
  <mergeCells count="68"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7:E27"/>
    <mergeCell ref="D28:E28"/>
    <mergeCell ref="D29:E29"/>
    <mergeCell ref="D30:E30"/>
    <mergeCell ref="D31:E31"/>
    <mergeCell ref="D32:E32"/>
    <mergeCell ref="D34:E34"/>
    <mergeCell ref="L12:M12"/>
    <mergeCell ref="L13:M13"/>
    <mergeCell ref="L14:M14"/>
    <mergeCell ref="L15:M15"/>
    <mergeCell ref="L16:M16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9:M29"/>
    <mergeCell ref="L30:M30"/>
    <mergeCell ref="L31:M31"/>
    <mergeCell ref="L32:M32"/>
    <mergeCell ref="L34:M34"/>
    <mergeCell ref="L35:M35"/>
    <mergeCell ref="L36:M36"/>
    <mergeCell ref="L37:M37"/>
    <mergeCell ref="L38:M38"/>
    <mergeCell ref="L39:M39"/>
    <mergeCell ref="L41:M41"/>
    <mergeCell ref="L42:M42"/>
    <mergeCell ref="L43:M43"/>
    <mergeCell ref="L44:M44"/>
    <mergeCell ref="L45:M45"/>
    <mergeCell ref="L54:M54"/>
    <mergeCell ref="L46:M46"/>
    <mergeCell ref="L47:M47"/>
    <mergeCell ref="L49:M49"/>
    <mergeCell ref="L50:M50"/>
    <mergeCell ref="L52:M52"/>
    <mergeCell ref="D60:E60"/>
    <mergeCell ref="L60:M60"/>
    <mergeCell ref="L61:M61"/>
    <mergeCell ref="D56:O56"/>
    <mergeCell ref="D59:E59"/>
    <mergeCell ref="D61:E61"/>
    <mergeCell ref="D6:O6"/>
    <mergeCell ref="D1:O1"/>
    <mergeCell ref="D2:O2"/>
    <mergeCell ref="D3:O3"/>
    <mergeCell ref="D4:O4"/>
    <mergeCell ref="D5:O5"/>
  </mergeCells>
  <printOptions horizontalCentered="1" verticalCentered="1"/>
  <pageMargins left="0.15748031496062992" right="0.15748031496062992" top="0.19685039370078741" bottom="0.19685039370078741" header="0.51181102362204722" footer="0.51181102362204722"/>
  <pageSetup scale="69" orientation="landscape" r:id="rId1"/>
  <ignoredErrors>
    <ignoredError sqref="N31 N16 N47 F19 F24 D60:M61 F17 F18 N14 N15 O14:O16 G17:G20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B3" sqref="B3:I3"/>
    </sheetView>
  </sheetViews>
  <sheetFormatPr baseColWidth="10" defaultRowHeight="15" x14ac:dyDescent="0.25"/>
  <cols>
    <col min="1" max="1" width="2.5703125" style="212" customWidth="1"/>
    <col min="2" max="2" width="2" style="203" customWidth="1"/>
    <col min="3" max="3" width="45.85546875" style="203" customWidth="1"/>
    <col min="4" max="9" width="12.7109375" style="203" customWidth="1"/>
    <col min="10" max="10" width="4" style="212" customWidth="1"/>
  </cols>
  <sheetData>
    <row r="1" spans="2:9" s="212" customFormat="1" x14ac:dyDescent="0.25">
      <c r="B1" s="172"/>
      <c r="C1" s="172"/>
      <c r="D1" s="172"/>
      <c r="E1" s="172"/>
      <c r="F1" s="172"/>
      <c r="G1" s="172"/>
      <c r="H1" s="172"/>
      <c r="I1" s="172"/>
    </row>
    <row r="2" spans="2:9" x14ac:dyDescent="0.25">
      <c r="B2" s="614" t="str">
        <f>BALANZA!Q9</f>
        <v>Cuenta Pública 2016</v>
      </c>
      <c r="C2" s="615"/>
      <c r="D2" s="615"/>
      <c r="E2" s="615"/>
      <c r="F2" s="615"/>
      <c r="G2" s="615"/>
      <c r="H2" s="615"/>
      <c r="I2" s="616"/>
    </row>
    <row r="3" spans="2:9" x14ac:dyDescent="0.25">
      <c r="B3" s="617" t="str">
        <f>BALANZA!Q6</f>
        <v>EL COLEGIO DE TLAXCALA, A.C.</v>
      </c>
      <c r="C3" s="618"/>
      <c r="D3" s="618"/>
      <c r="E3" s="618"/>
      <c r="F3" s="618"/>
      <c r="G3" s="618"/>
      <c r="H3" s="618"/>
      <c r="I3" s="619"/>
    </row>
    <row r="4" spans="2:9" x14ac:dyDescent="0.25">
      <c r="B4" s="617" t="s">
        <v>874</v>
      </c>
      <c r="C4" s="618"/>
      <c r="D4" s="618"/>
      <c r="E4" s="618"/>
      <c r="F4" s="618"/>
      <c r="G4" s="618"/>
      <c r="H4" s="618"/>
      <c r="I4" s="619"/>
    </row>
    <row r="5" spans="2:9" x14ac:dyDescent="0.25">
      <c r="B5" s="617" t="s">
        <v>885</v>
      </c>
      <c r="C5" s="618"/>
      <c r="D5" s="618"/>
      <c r="E5" s="618"/>
      <c r="F5" s="618"/>
      <c r="G5" s="618"/>
      <c r="H5" s="618"/>
      <c r="I5" s="619"/>
    </row>
    <row r="6" spans="2:9" x14ac:dyDescent="0.25">
      <c r="B6" s="620" t="str">
        <f>BALANZA!Q8</f>
        <v>Del 1 de enero al 31 de marzo de 2016</v>
      </c>
      <c r="C6" s="621"/>
      <c r="D6" s="621"/>
      <c r="E6" s="621"/>
      <c r="F6" s="621"/>
      <c r="G6" s="621"/>
      <c r="H6" s="621"/>
      <c r="I6" s="622"/>
    </row>
    <row r="7" spans="2:9" s="212" customFormat="1" x14ac:dyDescent="0.25">
      <c r="B7" s="172"/>
      <c r="C7" s="172"/>
      <c r="D7" s="172"/>
      <c r="E7" s="172"/>
      <c r="F7" s="172"/>
      <c r="G7" s="172"/>
      <c r="H7" s="172"/>
      <c r="I7" s="172"/>
    </row>
    <row r="8" spans="2:9" x14ac:dyDescent="0.25">
      <c r="B8" s="637" t="s">
        <v>40</v>
      </c>
      <c r="C8" s="638"/>
      <c r="D8" s="636" t="s">
        <v>886</v>
      </c>
      <c r="E8" s="636"/>
      <c r="F8" s="636"/>
      <c r="G8" s="636"/>
      <c r="H8" s="636"/>
      <c r="I8" s="636" t="s">
        <v>877</v>
      </c>
    </row>
    <row r="9" spans="2:9" ht="22.5" x14ac:dyDescent="0.25">
      <c r="B9" s="639"/>
      <c r="C9" s="640"/>
      <c r="D9" s="213" t="s">
        <v>878</v>
      </c>
      <c r="E9" s="213" t="s">
        <v>879</v>
      </c>
      <c r="F9" s="213" t="s">
        <v>852</v>
      </c>
      <c r="G9" s="213" t="s">
        <v>853</v>
      </c>
      <c r="H9" s="213" t="s">
        <v>880</v>
      </c>
      <c r="I9" s="636"/>
    </row>
    <row r="10" spans="2:9" x14ac:dyDescent="0.25">
      <c r="B10" s="641"/>
      <c r="C10" s="642"/>
      <c r="D10" s="213">
        <v>1</v>
      </c>
      <c r="E10" s="213">
        <v>2</v>
      </c>
      <c r="F10" s="213" t="s">
        <v>881</v>
      </c>
      <c r="G10" s="213">
        <v>4</v>
      </c>
      <c r="H10" s="213">
        <v>5</v>
      </c>
      <c r="I10" s="213" t="s">
        <v>882</v>
      </c>
    </row>
    <row r="11" spans="2:9" x14ac:dyDescent="0.25">
      <c r="B11" s="227"/>
      <c r="C11" s="228"/>
      <c r="D11" s="229"/>
      <c r="E11" s="229"/>
      <c r="F11" s="229"/>
      <c r="G11" s="229"/>
      <c r="H11" s="229"/>
      <c r="I11" s="229"/>
    </row>
    <row r="12" spans="2:9" x14ac:dyDescent="0.25">
      <c r="B12" s="214"/>
      <c r="C12" s="230" t="s">
        <v>887</v>
      </c>
      <c r="D12" s="550">
        <v>19818362</v>
      </c>
      <c r="E12" s="550">
        <v>0</v>
      </c>
      <c r="F12" s="550">
        <f>+D12+E12</f>
        <v>19818362</v>
      </c>
      <c r="G12" s="550">
        <v>5425891</v>
      </c>
      <c r="H12" s="550">
        <f>BALANZA!J492</f>
        <v>5431090</v>
      </c>
      <c r="I12" s="550">
        <f>+F12-H12</f>
        <v>14387272</v>
      </c>
    </row>
    <row r="13" spans="2:9" x14ac:dyDescent="0.25">
      <c r="B13" s="214"/>
      <c r="C13" s="215"/>
      <c r="D13" s="231"/>
      <c r="E13" s="231"/>
      <c r="F13" s="231"/>
      <c r="G13" s="231"/>
      <c r="H13" s="231"/>
      <c r="I13" s="231"/>
    </row>
    <row r="14" spans="2:9" x14ac:dyDescent="0.25">
      <c r="B14" s="232"/>
      <c r="C14" s="230" t="s">
        <v>888</v>
      </c>
      <c r="D14" s="231"/>
      <c r="E14" s="231"/>
      <c r="F14" s="231">
        <f>+D14+E14</f>
        <v>0</v>
      </c>
      <c r="G14" s="231"/>
      <c r="H14" s="231"/>
      <c r="I14" s="231">
        <f>+F14-G14</f>
        <v>0</v>
      </c>
    </row>
    <row r="15" spans="2:9" x14ac:dyDescent="0.25">
      <c r="B15" s="214"/>
      <c r="C15" s="215"/>
      <c r="D15" s="231"/>
      <c r="E15" s="231"/>
      <c r="F15" s="231"/>
      <c r="G15" s="231"/>
      <c r="H15" s="231"/>
      <c r="I15" s="231"/>
    </row>
    <row r="16" spans="2:9" x14ac:dyDescent="0.25">
      <c r="B16" s="232"/>
      <c r="C16" s="230" t="s">
        <v>889</v>
      </c>
      <c r="D16" s="231"/>
      <c r="E16" s="231"/>
      <c r="F16" s="231">
        <f>+D16+E16</f>
        <v>0</v>
      </c>
      <c r="G16" s="231"/>
      <c r="H16" s="231"/>
      <c r="I16" s="231">
        <f>+F16-G16</f>
        <v>0</v>
      </c>
    </row>
    <row r="17" spans="1:10" x14ac:dyDescent="0.25">
      <c r="B17" s="233"/>
      <c r="C17" s="234"/>
      <c r="D17" s="235"/>
      <c r="E17" s="235"/>
      <c r="F17" s="235"/>
      <c r="G17" s="235"/>
      <c r="H17" s="235"/>
      <c r="I17" s="235"/>
    </row>
    <row r="18" spans="1:10" s="226" customFormat="1" x14ac:dyDescent="0.25">
      <c r="A18" s="223"/>
      <c r="B18" s="233"/>
      <c r="C18" s="234" t="s">
        <v>883</v>
      </c>
      <c r="D18" s="551">
        <f>+D12+D14+D16</f>
        <v>19818362</v>
      </c>
      <c r="E18" s="551">
        <f t="shared" ref="E18:I18" si="0">+E12+E14+E16</f>
        <v>0</v>
      </c>
      <c r="F18" s="551">
        <f t="shared" si="0"/>
        <v>19818362</v>
      </c>
      <c r="G18" s="551">
        <f t="shared" si="0"/>
        <v>5425891</v>
      </c>
      <c r="H18" s="551">
        <f t="shared" si="0"/>
        <v>5431090</v>
      </c>
      <c r="I18" s="551">
        <f t="shared" si="0"/>
        <v>14387272</v>
      </c>
      <c r="J18" s="223"/>
    </row>
    <row r="19" spans="1:10" s="212" customFormat="1" x14ac:dyDescent="0.25">
      <c r="B19" s="172"/>
      <c r="C19" s="172"/>
      <c r="D19" s="172"/>
      <c r="E19" s="172"/>
      <c r="F19" s="172"/>
      <c r="G19" s="172"/>
      <c r="H19" s="172"/>
      <c r="I19" s="172"/>
    </row>
    <row r="21" spans="1:10" x14ac:dyDescent="0.25">
      <c r="D21" s="236" t="str">
        <f>IF(D18=CAdmon!D22," ","ERROR")</f>
        <v xml:space="preserve"> </v>
      </c>
      <c r="E21" s="236" t="str">
        <f>IF(E18=CAdmon!E22," ","ERROR")</f>
        <v xml:space="preserve"> </v>
      </c>
      <c r="F21" s="236" t="str">
        <f>IF(F18=CAdmon!F22," ","ERROR")</f>
        <v xml:space="preserve"> </v>
      </c>
      <c r="G21" s="236" t="str">
        <f>IF(G18=CAdmon!G22," ","ERROR")</f>
        <v>ERROR</v>
      </c>
      <c r="H21" s="236" t="str">
        <f>IF(H18=CAdmon!H22," ","ERROR")</f>
        <v xml:space="preserve"> </v>
      </c>
      <c r="I21" s="236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5"/>
  <sheetViews>
    <sheetView topLeftCell="A7" workbookViewId="0">
      <selection activeCell="G83" sqref="G83"/>
    </sheetView>
  </sheetViews>
  <sheetFormatPr baseColWidth="10" defaultRowHeight="15" x14ac:dyDescent="0.25"/>
  <cols>
    <col min="1" max="1" width="2.42578125" style="212" customWidth="1"/>
    <col min="2" max="2" width="4.5703125" style="203" customWidth="1"/>
    <col min="3" max="3" width="57.28515625" style="203" customWidth="1"/>
    <col min="4" max="9" width="12.7109375" style="203" customWidth="1"/>
    <col min="10" max="10" width="3.7109375" style="212" customWidth="1"/>
  </cols>
  <sheetData>
    <row r="2" spans="2:9" x14ac:dyDescent="0.25">
      <c r="B2" s="614" t="str">
        <f>BALANZA!Q9</f>
        <v>Cuenta Pública 2016</v>
      </c>
      <c r="C2" s="615"/>
      <c r="D2" s="615"/>
      <c r="E2" s="615"/>
      <c r="F2" s="615"/>
      <c r="G2" s="615"/>
      <c r="H2" s="615"/>
      <c r="I2" s="616"/>
    </row>
    <row r="3" spans="2:9" x14ac:dyDescent="0.25">
      <c r="B3" s="617" t="str">
        <f>BALANZA!Q6</f>
        <v>EL COLEGIO DE TLAXCALA, A.C.</v>
      </c>
      <c r="C3" s="618"/>
      <c r="D3" s="618"/>
      <c r="E3" s="618"/>
      <c r="F3" s="618"/>
      <c r="G3" s="618"/>
      <c r="H3" s="618"/>
      <c r="I3" s="619"/>
    </row>
    <row r="4" spans="2:9" x14ac:dyDescent="0.25">
      <c r="B4" s="617" t="s">
        <v>874</v>
      </c>
      <c r="C4" s="618"/>
      <c r="D4" s="618"/>
      <c r="E4" s="618"/>
      <c r="F4" s="618"/>
      <c r="G4" s="618"/>
      <c r="H4" s="618"/>
      <c r="I4" s="619"/>
    </row>
    <row r="5" spans="2:9" x14ac:dyDescent="0.25">
      <c r="B5" s="617" t="s">
        <v>1120</v>
      </c>
      <c r="C5" s="618"/>
      <c r="D5" s="618"/>
      <c r="E5" s="618"/>
      <c r="F5" s="618"/>
      <c r="G5" s="618"/>
      <c r="H5" s="618"/>
      <c r="I5" s="619"/>
    </row>
    <row r="6" spans="2:9" x14ac:dyDescent="0.25">
      <c r="B6" s="620" t="str">
        <f>BALANZA!Q8</f>
        <v>Del 1 de enero al 31 de marzo de 2016</v>
      </c>
      <c r="C6" s="621"/>
      <c r="D6" s="621"/>
      <c r="E6" s="621"/>
      <c r="F6" s="621"/>
      <c r="G6" s="621"/>
      <c r="H6" s="621"/>
      <c r="I6" s="622"/>
    </row>
    <row r="7" spans="2:9" s="212" customFormat="1" ht="6.75" customHeight="1" x14ac:dyDescent="0.25">
      <c r="B7" s="172"/>
      <c r="C7" s="172"/>
      <c r="D7" s="172"/>
      <c r="E7" s="172"/>
      <c r="F7" s="172"/>
      <c r="G7" s="172"/>
      <c r="H7" s="172"/>
      <c r="I7" s="172"/>
    </row>
    <row r="8" spans="2:9" x14ac:dyDescent="0.25">
      <c r="B8" s="635" t="s">
        <v>40</v>
      </c>
      <c r="C8" s="635"/>
      <c r="D8" s="636" t="s">
        <v>876</v>
      </c>
      <c r="E8" s="636"/>
      <c r="F8" s="636"/>
      <c r="G8" s="636"/>
      <c r="H8" s="636"/>
      <c r="I8" s="636" t="s">
        <v>877</v>
      </c>
    </row>
    <row r="9" spans="2:9" ht="22.5" x14ac:dyDescent="0.25">
      <c r="B9" s="635"/>
      <c r="C9" s="635"/>
      <c r="D9" s="449" t="s">
        <v>878</v>
      </c>
      <c r="E9" s="449" t="s">
        <v>879</v>
      </c>
      <c r="F9" s="449" t="s">
        <v>852</v>
      </c>
      <c r="G9" s="449" t="s">
        <v>853</v>
      </c>
      <c r="H9" s="449" t="s">
        <v>880</v>
      </c>
      <c r="I9" s="636"/>
    </row>
    <row r="10" spans="2:9" ht="11.25" customHeight="1" x14ac:dyDescent="0.25">
      <c r="B10" s="635"/>
      <c r="C10" s="635"/>
      <c r="D10" s="449">
        <v>1</v>
      </c>
      <c r="E10" s="449">
        <v>2</v>
      </c>
      <c r="F10" s="449" t="s">
        <v>881</v>
      </c>
      <c r="G10" s="449">
        <v>4</v>
      </c>
      <c r="H10" s="449">
        <v>5</v>
      </c>
      <c r="I10" s="449" t="s">
        <v>882</v>
      </c>
    </row>
    <row r="11" spans="2:9" x14ac:dyDescent="0.25">
      <c r="B11" s="643" t="s">
        <v>218</v>
      </c>
      <c r="C11" s="644"/>
      <c r="D11" s="552">
        <f>SUM(D12:D18)</f>
        <v>14874000</v>
      </c>
      <c r="E11" s="552">
        <f>SUM(E12:E18)</f>
        <v>0</v>
      </c>
      <c r="F11" s="552">
        <f>+D11+E11</f>
        <v>14874000</v>
      </c>
      <c r="G11" s="552">
        <f t="shared" ref="G11:H11" si="0">SUM(G12:G18)</f>
        <v>11463821.48</v>
      </c>
      <c r="H11" s="552">
        <f t="shared" si="0"/>
        <v>2835746</v>
      </c>
      <c r="I11" s="552">
        <f>+F11-H11</f>
        <v>12038254</v>
      </c>
    </row>
    <row r="12" spans="2:9" x14ac:dyDescent="0.25">
      <c r="B12" s="238"/>
      <c r="C12" s="239" t="s">
        <v>457</v>
      </c>
      <c r="D12" s="550">
        <v>10568796</v>
      </c>
      <c r="E12" s="550">
        <v>0</v>
      </c>
      <c r="F12" s="550">
        <f t="shared" ref="F12:F75" si="1">+D12+E12</f>
        <v>10568796</v>
      </c>
      <c r="G12" s="550">
        <v>7585943</v>
      </c>
      <c r="H12" s="550">
        <f>BALANZA!J496</f>
        <v>2403644</v>
      </c>
      <c r="I12" s="550">
        <f>+F12-H12</f>
        <v>8165152</v>
      </c>
    </row>
    <row r="13" spans="2:9" x14ac:dyDescent="0.25">
      <c r="B13" s="238"/>
      <c r="C13" s="239" t="s">
        <v>458</v>
      </c>
      <c r="D13" s="550">
        <v>172094</v>
      </c>
      <c r="E13" s="550">
        <v>0</v>
      </c>
      <c r="F13" s="550">
        <f t="shared" si="1"/>
        <v>172094</v>
      </c>
      <c r="G13" s="550">
        <v>1388310</v>
      </c>
      <c r="H13" s="550">
        <f>BALANZA!J497</f>
        <v>172094</v>
      </c>
      <c r="I13" s="550">
        <f t="shared" ref="I13:I15" si="2">+F13-H13</f>
        <v>0</v>
      </c>
    </row>
    <row r="14" spans="2:9" x14ac:dyDescent="0.25">
      <c r="B14" s="238"/>
      <c r="C14" s="239" t="s">
        <v>459</v>
      </c>
      <c r="D14" s="550">
        <v>1878202</v>
      </c>
      <c r="E14" s="550">
        <v>0</v>
      </c>
      <c r="F14" s="550">
        <f t="shared" si="1"/>
        <v>1878202</v>
      </c>
      <c r="G14" s="550">
        <f>'PRESUPUESTO DE EGRESOS'!S17</f>
        <v>1205472.48</v>
      </c>
      <c r="H14" s="550">
        <f>BALANZA!J499</f>
        <v>4586</v>
      </c>
      <c r="I14" s="550">
        <f t="shared" si="2"/>
        <v>1873616</v>
      </c>
    </row>
    <row r="15" spans="2:9" x14ac:dyDescent="0.25">
      <c r="B15" s="238"/>
      <c r="C15" s="239" t="s">
        <v>460</v>
      </c>
      <c r="D15" s="550">
        <v>2254908</v>
      </c>
      <c r="E15" s="550">
        <v>0</v>
      </c>
      <c r="F15" s="550">
        <f t="shared" si="1"/>
        <v>2254908</v>
      </c>
      <c r="G15" s="550">
        <v>1284096</v>
      </c>
      <c r="H15" s="550">
        <f>BALANZA!J503</f>
        <v>255422</v>
      </c>
      <c r="I15" s="550">
        <f t="shared" si="2"/>
        <v>1999486</v>
      </c>
    </row>
    <row r="16" spans="2:9" x14ac:dyDescent="0.25">
      <c r="B16" s="238"/>
      <c r="C16" s="239" t="s">
        <v>461</v>
      </c>
      <c r="D16" s="231">
        <v>0</v>
      </c>
      <c r="E16" s="231">
        <v>0</v>
      </c>
      <c r="F16" s="231">
        <f t="shared" si="1"/>
        <v>0</v>
      </c>
      <c r="G16" s="231">
        <v>0</v>
      </c>
      <c r="H16" s="231">
        <v>0</v>
      </c>
      <c r="I16" s="231">
        <f t="shared" ref="I16:I75" si="3">+F16-G16</f>
        <v>0</v>
      </c>
    </row>
    <row r="17" spans="2:9" x14ac:dyDescent="0.25">
      <c r="B17" s="238"/>
      <c r="C17" s="239" t="s">
        <v>890</v>
      </c>
      <c r="D17" s="231">
        <v>0</v>
      </c>
      <c r="E17" s="231">
        <v>0</v>
      </c>
      <c r="F17" s="231">
        <f t="shared" si="1"/>
        <v>0</v>
      </c>
      <c r="G17" s="231">
        <v>0</v>
      </c>
      <c r="H17" s="231">
        <v>0</v>
      </c>
      <c r="I17" s="231">
        <f t="shared" si="3"/>
        <v>0</v>
      </c>
    </row>
    <row r="18" spans="2:9" x14ac:dyDescent="0.25">
      <c r="B18" s="238"/>
      <c r="C18" s="239" t="s">
        <v>462</v>
      </c>
      <c r="D18" s="231">
        <v>0</v>
      </c>
      <c r="E18" s="231">
        <v>0</v>
      </c>
      <c r="F18" s="231">
        <f t="shared" si="1"/>
        <v>0</v>
      </c>
      <c r="G18" s="231">
        <v>0</v>
      </c>
      <c r="H18" s="231">
        <v>0</v>
      </c>
      <c r="I18" s="231">
        <f t="shared" si="3"/>
        <v>0</v>
      </c>
    </row>
    <row r="19" spans="2:9" x14ac:dyDescent="0.25">
      <c r="B19" s="643" t="s">
        <v>63</v>
      </c>
      <c r="C19" s="644"/>
      <c r="D19" s="552">
        <f>SUM(D20:D28)</f>
        <v>503317</v>
      </c>
      <c r="E19" s="552">
        <f>SUM(E20:E28)</f>
        <v>0</v>
      </c>
      <c r="F19" s="552">
        <f t="shared" si="1"/>
        <v>503317</v>
      </c>
      <c r="G19" s="552">
        <f t="shared" ref="G19:H19" si="4">SUM(G20:G28)</f>
        <v>584205</v>
      </c>
      <c r="H19" s="552">
        <f t="shared" si="4"/>
        <v>110976</v>
      </c>
      <c r="I19" s="552">
        <f>F19-H19</f>
        <v>392341</v>
      </c>
    </row>
    <row r="20" spans="2:9" x14ac:dyDescent="0.25">
      <c r="B20" s="238"/>
      <c r="C20" s="239" t="s">
        <v>463</v>
      </c>
      <c r="D20" s="550">
        <v>218673</v>
      </c>
      <c r="E20" s="550">
        <v>0</v>
      </c>
      <c r="F20" s="550">
        <f t="shared" si="1"/>
        <v>218673</v>
      </c>
      <c r="G20" s="550">
        <v>238796</v>
      </c>
      <c r="H20" s="550">
        <f>BALANZA!J510</f>
        <v>52164</v>
      </c>
      <c r="I20" s="550">
        <f>+F20-H20</f>
        <v>166509</v>
      </c>
    </row>
    <row r="21" spans="2:9" x14ac:dyDescent="0.25">
      <c r="B21" s="238"/>
      <c r="C21" s="239" t="s">
        <v>464</v>
      </c>
      <c r="D21" s="550">
        <v>122169</v>
      </c>
      <c r="E21" s="550">
        <v>0</v>
      </c>
      <c r="F21" s="550">
        <f t="shared" si="1"/>
        <v>122169</v>
      </c>
      <c r="G21" s="550">
        <f>121291+5399</f>
        <v>126690</v>
      </c>
      <c r="H21" s="550">
        <f>BALANZA!J517</f>
        <v>34293</v>
      </c>
      <c r="I21" s="550">
        <f t="shared" ref="I21:I23" si="5">+F21-H21</f>
        <v>87876</v>
      </c>
    </row>
    <row r="22" spans="2:9" x14ac:dyDescent="0.25">
      <c r="B22" s="238"/>
      <c r="C22" s="239" t="s">
        <v>465</v>
      </c>
      <c r="D22" s="231"/>
      <c r="E22" s="231">
        <v>0</v>
      </c>
      <c r="F22" s="231">
        <f t="shared" si="1"/>
        <v>0</v>
      </c>
      <c r="G22" s="231"/>
      <c r="H22" s="231">
        <v>0</v>
      </c>
      <c r="I22" s="231">
        <f t="shared" si="5"/>
        <v>0</v>
      </c>
    </row>
    <row r="23" spans="2:9" x14ac:dyDescent="0.25">
      <c r="B23" s="238"/>
      <c r="C23" s="239" t="s">
        <v>466</v>
      </c>
      <c r="D23" s="550">
        <v>30807</v>
      </c>
      <c r="E23" s="550">
        <v>0</v>
      </c>
      <c r="F23" s="550">
        <f t="shared" si="1"/>
        <v>30807</v>
      </c>
      <c r="G23" s="550">
        <f>15583+9059+5000</f>
        <v>29642</v>
      </c>
      <c r="H23" s="550">
        <f>BALANZA!J521</f>
        <v>6006</v>
      </c>
      <c r="I23" s="550">
        <f t="shared" si="5"/>
        <v>24801</v>
      </c>
    </row>
    <row r="24" spans="2:9" x14ac:dyDescent="0.25">
      <c r="B24" s="238"/>
      <c r="C24" s="239" t="s">
        <v>467</v>
      </c>
      <c r="D24" s="550">
        <f>1800+2000</f>
        <v>3800</v>
      </c>
      <c r="E24" s="550">
        <v>0</v>
      </c>
      <c r="F24" s="550">
        <f t="shared" si="1"/>
        <v>3800</v>
      </c>
      <c r="G24" s="550">
        <f>1800+2000</f>
        <v>3800</v>
      </c>
      <c r="H24" s="550">
        <v>0</v>
      </c>
      <c r="I24" s="231">
        <f>+F24-H24</f>
        <v>3800</v>
      </c>
    </row>
    <row r="25" spans="2:9" x14ac:dyDescent="0.25">
      <c r="B25" s="238"/>
      <c r="C25" s="239" t="s">
        <v>468</v>
      </c>
      <c r="D25" s="550">
        <v>90368</v>
      </c>
      <c r="E25" s="550">
        <v>0</v>
      </c>
      <c r="F25" s="550">
        <f t="shared" si="1"/>
        <v>90368</v>
      </c>
      <c r="G25" s="550">
        <v>152277</v>
      </c>
      <c r="H25" s="550">
        <f>BALANZA!J528</f>
        <v>18513</v>
      </c>
      <c r="I25" s="550">
        <f t="shared" ref="I25:I38" si="6">+F25-H25</f>
        <v>71855</v>
      </c>
    </row>
    <row r="26" spans="2:9" x14ac:dyDescent="0.25">
      <c r="B26" s="238"/>
      <c r="C26" s="239" t="s">
        <v>469</v>
      </c>
      <c r="D26" s="550">
        <v>18500</v>
      </c>
      <c r="E26" s="550">
        <v>0</v>
      </c>
      <c r="F26" s="550">
        <f t="shared" si="1"/>
        <v>18500</v>
      </c>
      <c r="G26" s="550">
        <f>1000+3000+10000</f>
        <v>14000</v>
      </c>
      <c r="H26" s="550">
        <f>BALANZA!J530</f>
        <v>0</v>
      </c>
      <c r="I26" s="231">
        <f t="shared" si="6"/>
        <v>18500</v>
      </c>
    </row>
    <row r="27" spans="2:9" x14ac:dyDescent="0.25">
      <c r="B27" s="238"/>
      <c r="C27" s="239" t="s">
        <v>891</v>
      </c>
      <c r="D27" s="231">
        <v>0</v>
      </c>
      <c r="E27" s="231">
        <v>0</v>
      </c>
      <c r="F27" s="231">
        <f t="shared" si="1"/>
        <v>0</v>
      </c>
      <c r="G27" s="541">
        <v>0</v>
      </c>
      <c r="H27" s="231">
        <v>0</v>
      </c>
      <c r="I27" s="231">
        <f t="shared" si="6"/>
        <v>0</v>
      </c>
    </row>
    <row r="28" spans="2:9" x14ac:dyDescent="0.25">
      <c r="B28" s="238"/>
      <c r="C28" s="239" t="s">
        <v>471</v>
      </c>
      <c r="D28" s="550">
        <f>4000+3000+10000+2000</f>
        <v>19000</v>
      </c>
      <c r="E28" s="550">
        <v>0</v>
      </c>
      <c r="F28" s="550">
        <f t="shared" si="1"/>
        <v>19000</v>
      </c>
      <c r="G28" s="550">
        <v>19000</v>
      </c>
      <c r="H28" s="550">
        <v>0</v>
      </c>
      <c r="I28" s="231">
        <f t="shared" si="6"/>
        <v>19000</v>
      </c>
    </row>
    <row r="29" spans="2:9" x14ac:dyDescent="0.25">
      <c r="B29" s="643" t="s">
        <v>64</v>
      </c>
      <c r="C29" s="644"/>
      <c r="D29" s="552">
        <f>SUM(D30:D38)</f>
        <v>4262545</v>
      </c>
      <c r="E29" s="552">
        <f t="shared" ref="E29" si="7">SUM(E30:E38)</f>
        <v>0</v>
      </c>
      <c r="F29" s="552">
        <f t="shared" si="1"/>
        <v>4262545</v>
      </c>
      <c r="G29" s="552">
        <f>SUM(G30:G38)</f>
        <v>3828595</v>
      </c>
      <c r="H29" s="552">
        <f t="shared" ref="H29" si="8">SUM(H30:H38)</f>
        <v>2305868</v>
      </c>
      <c r="I29" s="552">
        <f>+F29-H29</f>
        <v>1956677</v>
      </c>
    </row>
    <row r="30" spans="2:9" x14ac:dyDescent="0.25">
      <c r="B30" s="238"/>
      <c r="C30" s="239" t="s">
        <v>472</v>
      </c>
      <c r="D30" s="550">
        <v>525057</v>
      </c>
      <c r="E30" s="550">
        <v>0</v>
      </c>
      <c r="F30" s="550">
        <f t="shared" si="1"/>
        <v>525057</v>
      </c>
      <c r="G30" s="550">
        <f>161025+10296+145374+30606+20400+10573</f>
        <v>378274</v>
      </c>
      <c r="H30" s="550">
        <f>BALANZA!J542</f>
        <v>123625</v>
      </c>
      <c r="I30" s="231">
        <f t="shared" si="6"/>
        <v>401432</v>
      </c>
    </row>
    <row r="31" spans="2:9" x14ac:dyDescent="0.25">
      <c r="B31" s="238"/>
      <c r="C31" s="239" t="s">
        <v>473</v>
      </c>
      <c r="D31" s="550">
        <v>0</v>
      </c>
      <c r="E31" s="550">
        <v>0</v>
      </c>
      <c r="F31" s="550">
        <f t="shared" si="1"/>
        <v>0</v>
      </c>
      <c r="G31" s="550">
        <v>43200</v>
      </c>
      <c r="H31" s="231">
        <f>BALANZA!J550</f>
        <v>0</v>
      </c>
      <c r="I31" s="231">
        <f t="shared" si="6"/>
        <v>0</v>
      </c>
    </row>
    <row r="32" spans="2:9" x14ac:dyDescent="0.25">
      <c r="B32" s="238"/>
      <c r="C32" s="239" t="s">
        <v>892</v>
      </c>
      <c r="D32" s="550">
        <v>1127452</v>
      </c>
      <c r="E32" s="550">
        <v>0</v>
      </c>
      <c r="F32" s="550">
        <f t="shared" si="1"/>
        <v>1127452</v>
      </c>
      <c r="G32" s="550">
        <v>2574169</v>
      </c>
      <c r="H32" s="550">
        <f>BALANZA!J552</f>
        <v>222933</v>
      </c>
      <c r="I32" s="550">
        <f t="shared" si="6"/>
        <v>904519</v>
      </c>
    </row>
    <row r="33" spans="2:9" x14ac:dyDescent="0.25">
      <c r="B33" s="238"/>
      <c r="C33" s="239" t="s">
        <v>475</v>
      </c>
      <c r="D33" s="550">
        <v>90590</v>
      </c>
      <c r="E33" s="550">
        <v>0</v>
      </c>
      <c r="F33" s="550">
        <f t="shared" si="1"/>
        <v>90590</v>
      </c>
      <c r="G33" s="550">
        <f>5348+8000+50000+5000</f>
        <v>68348</v>
      </c>
      <c r="H33" s="550">
        <f>BALANZA!J561</f>
        <v>10586</v>
      </c>
      <c r="I33" s="550">
        <f t="shared" si="6"/>
        <v>80004</v>
      </c>
    </row>
    <row r="34" spans="2:9" x14ac:dyDescent="0.25">
      <c r="B34" s="238"/>
      <c r="C34" s="239" t="s">
        <v>476</v>
      </c>
      <c r="D34" s="550">
        <v>107193</v>
      </c>
      <c r="E34" s="550">
        <v>0</v>
      </c>
      <c r="F34" s="550">
        <f t="shared" si="1"/>
        <v>107193</v>
      </c>
      <c r="G34" s="550">
        <v>119899</v>
      </c>
      <c r="H34" s="550">
        <f>BALANZA!J566</f>
        <v>50248</v>
      </c>
      <c r="I34" s="550">
        <f t="shared" si="6"/>
        <v>56945</v>
      </c>
    </row>
    <row r="35" spans="2:9" x14ac:dyDescent="0.25">
      <c r="B35" s="238"/>
      <c r="C35" s="239" t="s">
        <v>893</v>
      </c>
      <c r="D35" s="550">
        <v>20000</v>
      </c>
      <c r="E35" s="550">
        <v>0</v>
      </c>
      <c r="F35" s="550">
        <f t="shared" si="1"/>
        <v>20000</v>
      </c>
      <c r="G35" s="550">
        <v>20000</v>
      </c>
      <c r="H35" s="550">
        <f>BALANZA!J573</f>
        <v>0</v>
      </c>
      <c r="I35" s="550">
        <f t="shared" si="6"/>
        <v>20000</v>
      </c>
    </row>
    <row r="36" spans="2:9" x14ac:dyDescent="0.25">
      <c r="B36" s="238"/>
      <c r="C36" s="239" t="s">
        <v>478</v>
      </c>
      <c r="D36" s="550">
        <v>169371</v>
      </c>
      <c r="E36" s="550">
        <v>0</v>
      </c>
      <c r="F36" s="550">
        <f t="shared" si="1"/>
        <v>169371</v>
      </c>
      <c r="G36" s="550">
        <f>50000+12600+97558+14000+14000+45000</f>
        <v>233158</v>
      </c>
      <c r="H36" s="550">
        <f>BALANZA!J575</f>
        <v>5051</v>
      </c>
      <c r="I36" s="550">
        <f t="shared" si="6"/>
        <v>164320</v>
      </c>
    </row>
    <row r="37" spans="2:9" x14ac:dyDescent="0.25">
      <c r="B37" s="238"/>
      <c r="C37" s="239" t="s">
        <v>479</v>
      </c>
      <c r="D37" s="550">
        <v>134500</v>
      </c>
      <c r="E37" s="550">
        <v>0</v>
      </c>
      <c r="F37" s="550">
        <f t="shared" si="1"/>
        <v>134500</v>
      </c>
      <c r="G37" s="550">
        <f>83000+38000+9600+17000+14046</f>
        <v>161646</v>
      </c>
      <c r="H37" s="550">
        <f>BALANZA!J582</f>
        <v>10254</v>
      </c>
      <c r="I37" s="550">
        <f t="shared" si="6"/>
        <v>124246</v>
      </c>
    </row>
    <row r="38" spans="2:9" x14ac:dyDescent="0.25">
      <c r="B38" s="463"/>
      <c r="C38" s="464" t="s">
        <v>480</v>
      </c>
      <c r="D38" s="561">
        <v>2088382</v>
      </c>
      <c r="E38" s="561">
        <v>0</v>
      </c>
      <c r="F38" s="561">
        <f t="shared" si="1"/>
        <v>2088382</v>
      </c>
      <c r="G38" s="561">
        <f>218125+11776</f>
        <v>229901</v>
      </c>
      <c r="H38" s="561">
        <f>BALANZA!J588</f>
        <v>1883171</v>
      </c>
      <c r="I38" s="561">
        <f t="shared" si="6"/>
        <v>205211</v>
      </c>
    </row>
    <row r="39" spans="2:9" x14ac:dyDescent="0.25">
      <c r="B39" s="643" t="s">
        <v>65</v>
      </c>
      <c r="C39" s="644"/>
      <c r="D39" s="237">
        <f>SUM(D40:D48)</f>
        <v>0</v>
      </c>
      <c r="E39" s="237">
        <f>SUM(E40:E48)</f>
        <v>0</v>
      </c>
      <c r="F39" s="237">
        <f t="shared" si="1"/>
        <v>0</v>
      </c>
      <c r="G39" s="540">
        <f t="shared" ref="G39:H39" si="9">SUM(G40:G48)</f>
        <v>0</v>
      </c>
      <c r="H39" s="237">
        <f t="shared" si="9"/>
        <v>0</v>
      </c>
      <c r="I39" s="237">
        <f t="shared" si="3"/>
        <v>0</v>
      </c>
    </row>
    <row r="40" spans="2:9" x14ac:dyDescent="0.25">
      <c r="B40" s="238"/>
      <c r="C40" s="239" t="s">
        <v>66</v>
      </c>
      <c r="D40" s="231"/>
      <c r="E40" s="231"/>
      <c r="F40" s="231">
        <f t="shared" si="1"/>
        <v>0</v>
      </c>
      <c r="G40" s="541"/>
      <c r="H40" s="231"/>
      <c r="I40" s="231">
        <f t="shared" si="3"/>
        <v>0</v>
      </c>
    </row>
    <row r="41" spans="2:9" x14ac:dyDescent="0.25">
      <c r="B41" s="238"/>
      <c r="C41" s="239" t="s">
        <v>67</v>
      </c>
      <c r="D41" s="231"/>
      <c r="E41" s="231"/>
      <c r="F41" s="231">
        <f t="shared" si="1"/>
        <v>0</v>
      </c>
      <c r="G41" s="541"/>
      <c r="H41" s="231"/>
      <c r="I41" s="231">
        <f t="shared" si="3"/>
        <v>0</v>
      </c>
    </row>
    <row r="42" spans="2:9" x14ac:dyDescent="0.25">
      <c r="B42" s="238"/>
      <c r="C42" s="239" t="s">
        <v>68</v>
      </c>
      <c r="D42" s="231"/>
      <c r="E42" s="231"/>
      <c r="F42" s="231">
        <f t="shared" si="1"/>
        <v>0</v>
      </c>
      <c r="G42" s="541"/>
      <c r="H42" s="231"/>
      <c r="I42" s="231">
        <f t="shared" si="3"/>
        <v>0</v>
      </c>
    </row>
    <row r="43" spans="2:9" x14ac:dyDescent="0.25">
      <c r="B43" s="238"/>
      <c r="C43" s="239" t="s">
        <v>69</v>
      </c>
      <c r="D43" s="231"/>
      <c r="E43" s="231"/>
      <c r="F43" s="231">
        <f t="shared" si="1"/>
        <v>0</v>
      </c>
      <c r="G43" s="541"/>
      <c r="H43" s="231"/>
      <c r="I43" s="231">
        <f t="shared" si="3"/>
        <v>0</v>
      </c>
    </row>
    <row r="44" spans="2:9" x14ac:dyDescent="0.25">
      <c r="B44" s="238"/>
      <c r="C44" s="239" t="s">
        <v>70</v>
      </c>
      <c r="D44" s="231"/>
      <c r="E44" s="231"/>
      <c r="F44" s="231">
        <f t="shared" si="1"/>
        <v>0</v>
      </c>
      <c r="G44" s="541"/>
      <c r="H44" s="231"/>
      <c r="I44" s="231">
        <f t="shared" si="3"/>
        <v>0</v>
      </c>
    </row>
    <row r="45" spans="2:9" x14ac:dyDescent="0.25">
      <c r="B45" s="238"/>
      <c r="C45" s="239" t="s">
        <v>894</v>
      </c>
      <c r="D45" s="231"/>
      <c r="E45" s="231"/>
      <c r="F45" s="231">
        <f t="shared" si="1"/>
        <v>0</v>
      </c>
      <c r="G45" s="541"/>
      <c r="H45" s="231"/>
      <c r="I45" s="231">
        <f t="shared" si="3"/>
        <v>0</v>
      </c>
    </row>
    <row r="46" spans="2:9" x14ac:dyDescent="0.25">
      <c r="B46" s="238"/>
      <c r="C46" s="239" t="s">
        <v>72</v>
      </c>
      <c r="D46" s="231"/>
      <c r="E46" s="231"/>
      <c r="F46" s="231">
        <f t="shared" si="1"/>
        <v>0</v>
      </c>
      <c r="G46" s="541"/>
      <c r="H46" s="231"/>
      <c r="I46" s="231">
        <f t="shared" si="3"/>
        <v>0</v>
      </c>
    </row>
    <row r="47" spans="2:9" x14ac:dyDescent="0.25">
      <c r="B47" s="238"/>
      <c r="C47" s="239" t="s">
        <v>73</v>
      </c>
      <c r="D47" s="231"/>
      <c r="E47" s="231"/>
      <c r="F47" s="231">
        <f t="shared" si="1"/>
        <v>0</v>
      </c>
      <c r="G47" s="541"/>
      <c r="H47" s="231"/>
      <c r="I47" s="231">
        <f t="shared" si="3"/>
        <v>0</v>
      </c>
    </row>
    <row r="48" spans="2:9" x14ac:dyDescent="0.25">
      <c r="B48" s="238"/>
      <c r="C48" s="239" t="s">
        <v>74</v>
      </c>
      <c r="D48" s="231"/>
      <c r="E48" s="231"/>
      <c r="F48" s="231">
        <f t="shared" si="1"/>
        <v>0</v>
      </c>
      <c r="G48" s="541"/>
      <c r="H48" s="231"/>
      <c r="I48" s="231">
        <f t="shared" si="3"/>
        <v>0</v>
      </c>
    </row>
    <row r="49" spans="2:9" x14ac:dyDescent="0.25">
      <c r="B49" s="643" t="s">
        <v>895</v>
      </c>
      <c r="C49" s="644"/>
      <c r="D49" s="552">
        <f>SUM(D50:D58)</f>
        <v>178500</v>
      </c>
      <c r="E49" s="552">
        <f>SUM(E50:E58)</f>
        <v>0</v>
      </c>
      <c r="F49" s="552">
        <f t="shared" si="1"/>
        <v>178500</v>
      </c>
      <c r="G49" s="552">
        <f t="shared" ref="G49:H49" si="10">SUM(G50:G58)</f>
        <v>178500</v>
      </c>
      <c r="H49" s="552">
        <f t="shared" si="10"/>
        <v>178500</v>
      </c>
      <c r="I49" s="552">
        <f>+F49-H49</f>
        <v>0</v>
      </c>
    </row>
    <row r="50" spans="2:9" x14ac:dyDescent="0.25">
      <c r="B50" s="238"/>
      <c r="C50" s="239" t="s">
        <v>294</v>
      </c>
      <c r="D50" s="550">
        <v>0</v>
      </c>
      <c r="E50" s="550">
        <v>0</v>
      </c>
      <c r="F50" s="550">
        <f t="shared" si="1"/>
        <v>0</v>
      </c>
      <c r="G50" s="550">
        <v>0</v>
      </c>
      <c r="H50" s="231">
        <v>0</v>
      </c>
      <c r="I50" s="231">
        <f>+F50-H50</f>
        <v>0</v>
      </c>
    </row>
    <row r="51" spans="2:9" x14ac:dyDescent="0.25">
      <c r="B51" s="238"/>
      <c r="C51" s="239" t="s">
        <v>295</v>
      </c>
      <c r="D51" s="231"/>
      <c r="E51" s="231">
        <v>0</v>
      </c>
      <c r="F51" s="231">
        <f t="shared" si="1"/>
        <v>0</v>
      </c>
      <c r="G51" s="541">
        <v>0</v>
      </c>
      <c r="H51" s="231">
        <v>0</v>
      </c>
      <c r="I51" s="231">
        <f t="shared" ref="I51:I58" si="11">+F51-H51</f>
        <v>0</v>
      </c>
    </row>
    <row r="52" spans="2:9" x14ac:dyDescent="0.25">
      <c r="B52" s="238"/>
      <c r="C52" s="239" t="s">
        <v>296</v>
      </c>
      <c r="D52" s="231"/>
      <c r="E52" s="231">
        <v>0</v>
      </c>
      <c r="F52" s="231">
        <f t="shared" si="1"/>
        <v>0</v>
      </c>
      <c r="G52" s="541">
        <v>0</v>
      </c>
      <c r="H52" s="231">
        <v>0</v>
      </c>
      <c r="I52" s="231">
        <f t="shared" si="11"/>
        <v>0</v>
      </c>
    </row>
    <row r="53" spans="2:9" x14ac:dyDescent="0.25">
      <c r="B53" s="238"/>
      <c r="C53" s="239" t="s">
        <v>896</v>
      </c>
      <c r="D53" s="231">
        <v>178500</v>
      </c>
      <c r="E53" s="231">
        <v>0</v>
      </c>
      <c r="F53" s="231">
        <f t="shared" si="1"/>
        <v>178500</v>
      </c>
      <c r="G53" s="541">
        <v>178500</v>
      </c>
      <c r="H53" s="231">
        <v>178500</v>
      </c>
      <c r="I53" s="231">
        <f t="shared" si="11"/>
        <v>0</v>
      </c>
    </row>
    <row r="54" spans="2:9" x14ac:dyDescent="0.25">
      <c r="B54" s="238"/>
      <c r="C54" s="239" t="s">
        <v>298</v>
      </c>
      <c r="D54" s="231"/>
      <c r="E54" s="231">
        <v>0</v>
      </c>
      <c r="F54" s="231">
        <f t="shared" si="1"/>
        <v>0</v>
      </c>
      <c r="G54" s="541">
        <v>0</v>
      </c>
      <c r="H54" s="231">
        <v>0</v>
      </c>
      <c r="I54" s="231">
        <f t="shared" si="11"/>
        <v>0</v>
      </c>
    </row>
    <row r="55" spans="2:9" x14ac:dyDescent="0.25">
      <c r="B55" s="238"/>
      <c r="C55" s="239" t="s">
        <v>299</v>
      </c>
      <c r="D55" s="231"/>
      <c r="E55" s="231">
        <v>0</v>
      </c>
      <c r="F55" s="231">
        <f t="shared" si="1"/>
        <v>0</v>
      </c>
      <c r="G55" s="541">
        <v>0</v>
      </c>
      <c r="H55" s="231">
        <v>0</v>
      </c>
      <c r="I55" s="231">
        <f t="shared" si="11"/>
        <v>0</v>
      </c>
    </row>
    <row r="56" spans="2:9" x14ac:dyDescent="0.25">
      <c r="B56" s="238"/>
      <c r="C56" s="239" t="s">
        <v>301</v>
      </c>
      <c r="D56" s="231"/>
      <c r="E56" s="231">
        <v>0</v>
      </c>
      <c r="F56" s="231">
        <f t="shared" si="1"/>
        <v>0</v>
      </c>
      <c r="G56" s="541">
        <v>0</v>
      </c>
      <c r="H56" s="231">
        <v>0</v>
      </c>
      <c r="I56" s="231">
        <f t="shared" si="11"/>
        <v>0</v>
      </c>
    </row>
    <row r="57" spans="2:9" x14ac:dyDescent="0.25">
      <c r="B57" s="238"/>
      <c r="C57" s="239" t="s">
        <v>897</v>
      </c>
      <c r="D57" s="231"/>
      <c r="E57" s="231">
        <v>0</v>
      </c>
      <c r="F57" s="231">
        <f t="shared" si="1"/>
        <v>0</v>
      </c>
      <c r="G57" s="541">
        <v>0</v>
      </c>
      <c r="H57" s="231">
        <v>0</v>
      </c>
      <c r="I57" s="231">
        <f t="shared" si="11"/>
        <v>0</v>
      </c>
    </row>
    <row r="58" spans="2:9" x14ac:dyDescent="0.25">
      <c r="B58" s="238"/>
      <c r="C58" s="239" t="s">
        <v>126</v>
      </c>
      <c r="D58" s="550">
        <v>0</v>
      </c>
      <c r="E58" s="550">
        <v>0</v>
      </c>
      <c r="F58" s="550">
        <f t="shared" si="1"/>
        <v>0</v>
      </c>
      <c r="G58" s="550">
        <v>0</v>
      </c>
      <c r="H58" s="231">
        <v>0</v>
      </c>
      <c r="I58" s="231">
        <f t="shared" si="11"/>
        <v>0</v>
      </c>
    </row>
    <row r="59" spans="2:9" x14ac:dyDescent="0.25">
      <c r="B59" s="643" t="s">
        <v>91</v>
      </c>
      <c r="C59" s="644"/>
      <c r="D59" s="237">
        <f>SUM(D60:D62)</f>
        <v>0</v>
      </c>
      <c r="E59" s="237">
        <f>SUM(E60:E62)</f>
        <v>0</v>
      </c>
      <c r="F59" s="237">
        <f t="shared" si="1"/>
        <v>0</v>
      </c>
      <c r="G59" s="540">
        <f t="shared" ref="G59:H59" si="12">SUM(G60:G62)</f>
        <v>0</v>
      </c>
      <c r="H59" s="237">
        <f t="shared" si="12"/>
        <v>0</v>
      </c>
      <c r="I59" s="237">
        <f t="shared" si="3"/>
        <v>0</v>
      </c>
    </row>
    <row r="60" spans="2:9" x14ac:dyDescent="0.25">
      <c r="B60" s="238"/>
      <c r="C60" s="239" t="s">
        <v>898</v>
      </c>
      <c r="D60" s="231"/>
      <c r="E60" s="231"/>
      <c r="F60" s="231">
        <f t="shared" si="1"/>
        <v>0</v>
      </c>
      <c r="G60" s="541"/>
      <c r="H60" s="231"/>
      <c r="I60" s="231">
        <f t="shared" si="3"/>
        <v>0</v>
      </c>
    </row>
    <row r="61" spans="2:9" x14ac:dyDescent="0.25">
      <c r="B61" s="238"/>
      <c r="C61" s="239" t="s">
        <v>899</v>
      </c>
      <c r="D61" s="231"/>
      <c r="E61" s="231"/>
      <c r="F61" s="231">
        <f t="shared" si="1"/>
        <v>0</v>
      </c>
      <c r="G61" s="541"/>
      <c r="H61" s="231"/>
      <c r="I61" s="231">
        <f t="shared" si="3"/>
        <v>0</v>
      </c>
    </row>
    <row r="62" spans="2:9" x14ac:dyDescent="0.25">
      <c r="B62" s="463"/>
      <c r="C62" s="464" t="s">
        <v>900</v>
      </c>
      <c r="D62" s="270"/>
      <c r="E62" s="270"/>
      <c r="F62" s="270">
        <f t="shared" si="1"/>
        <v>0</v>
      </c>
      <c r="G62" s="542"/>
      <c r="H62" s="270"/>
      <c r="I62" s="270">
        <f t="shared" si="3"/>
        <v>0</v>
      </c>
    </row>
    <row r="63" spans="2:9" x14ac:dyDescent="0.25">
      <c r="B63" s="643" t="s">
        <v>901</v>
      </c>
      <c r="C63" s="644"/>
      <c r="D63" s="237">
        <f>SUM(D64:D70)</f>
        <v>0</v>
      </c>
      <c r="E63" s="237">
        <f>SUM(E64:E70)</f>
        <v>0</v>
      </c>
      <c r="F63" s="237">
        <f t="shared" si="1"/>
        <v>0</v>
      </c>
      <c r="G63" s="540">
        <f t="shared" ref="G63:H63" si="13">SUM(G64:G70)</f>
        <v>0</v>
      </c>
      <c r="H63" s="237">
        <f t="shared" si="13"/>
        <v>0</v>
      </c>
      <c r="I63" s="237">
        <f t="shared" si="3"/>
        <v>0</v>
      </c>
    </row>
    <row r="64" spans="2:9" x14ac:dyDescent="0.25">
      <c r="B64" s="238"/>
      <c r="C64" s="239" t="s">
        <v>902</v>
      </c>
      <c r="D64" s="231"/>
      <c r="E64" s="231"/>
      <c r="F64" s="231">
        <f t="shared" si="1"/>
        <v>0</v>
      </c>
      <c r="G64" s="541"/>
      <c r="H64" s="231"/>
      <c r="I64" s="231">
        <f t="shared" si="3"/>
        <v>0</v>
      </c>
    </row>
    <row r="65" spans="2:9" x14ac:dyDescent="0.25">
      <c r="B65" s="238"/>
      <c r="C65" s="239" t="s">
        <v>903</v>
      </c>
      <c r="D65" s="231"/>
      <c r="E65" s="231"/>
      <c r="F65" s="231">
        <f t="shared" si="1"/>
        <v>0</v>
      </c>
      <c r="G65" s="541"/>
      <c r="H65" s="231"/>
      <c r="I65" s="231">
        <f t="shared" si="3"/>
        <v>0</v>
      </c>
    </row>
    <row r="66" spans="2:9" x14ac:dyDescent="0.25">
      <c r="B66" s="238"/>
      <c r="C66" s="239" t="s">
        <v>904</v>
      </c>
      <c r="D66" s="231"/>
      <c r="E66" s="231"/>
      <c r="F66" s="231">
        <f t="shared" si="1"/>
        <v>0</v>
      </c>
      <c r="G66" s="541"/>
      <c r="H66" s="231"/>
      <c r="I66" s="231">
        <f t="shared" si="3"/>
        <v>0</v>
      </c>
    </row>
    <row r="67" spans="2:9" x14ac:dyDescent="0.25">
      <c r="B67" s="238"/>
      <c r="C67" s="239" t="s">
        <v>905</v>
      </c>
      <c r="D67" s="231"/>
      <c r="E67" s="231"/>
      <c r="F67" s="231">
        <f t="shared" si="1"/>
        <v>0</v>
      </c>
      <c r="G67" s="541"/>
      <c r="H67" s="231"/>
      <c r="I67" s="231">
        <f t="shared" si="3"/>
        <v>0</v>
      </c>
    </row>
    <row r="68" spans="2:9" x14ac:dyDescent="0.25">
      <c r="B68" s="238"/>
      <c r="C68" s="239" t="s">
        <v>906</v>
      </c>
      <c r="D68" s="231"/>
      <c r="E68" s="231"/>
      <c r="F68" s="231">
        <f t="shared" si="1"/>
        <v>0</v>
      </c>
      <c r="G68" s="541"/>
      <c r="H68" s="231"/>
      <c r="I68" s="231">
        <f t="shared" si="3"/>
        <v>0</v>
      </c>
    </row>
    <row r="69" spans="2:9" x14ac:dyDescent="0.25">
      <c r="B69" s="238"/>
      <c r="C69" s="239" t="s">
        <v>907</v>
      </c>
      <c r="D69" s="231"/>
      <c r="E69" s="231"/>
      <c r="F69" s="231">
        <f t="shared" si="1"/>
        <v>0</v>
      </c>
      <c r="G69" s="541"/>
      <c r="H69" s="231"/>
      <c r="I69" s="231">
        <f t="shared" si="3"/>
        <v>0</v>
      </c>
    </row>
    <row r="70" spans="2:9" x14ac:dyDescent="0.25">
      <c r="B70" s="238"/>
      <c r="C70" s="239" t="s">
        <v>908</v>
      </c>
      <c r="D70" s="231"/>
      <c r="E70" s="231"/>
      <c r="F70" s="231">
        <f t="shared" si="1"/>
        <v>0</v>
      </c>
      <c r="G70" s="541"/>
      <c r="H70" s="231"/>
      <c r="I70" s="231">
        <f t="shared" si="3"/>
        <v>0</v>
      </c>
    </row>
    <row r="71" spans="2:9" x14ac:dyDescent="0.25">
      <c r="B71" s="625" t="s">
        <v>51</v>
      </c>
      <c r="C71" s="626"/>
      <c r="D71" s="237">
        <f>SUM(D72:D74)</f>
        <v>0</v>
      </c>
      <c r="E71" s="237">
        <f>SUM(E72:E74)</f>
        <v>0</v>
      </c>
      <c r="F71" s="237">
        <f t="shared" si="1"/>
        <v>0</v>
      </c>
      <c r="G71" s="540">
        <f t="shared" ref="G71:H71" si="14">SUM(G72:G74)</f>
        <v>0</v>
      </c>
      <c r="H71" s="237">
        <f t="shared" si="14"/>
        <v>0</v>
      </c>
      <c r="I71" s="237">
        <f t="shared" si="3"/>
        <v>0</v>
      </c>
    </row>
    <row r="72" spans="2:9" x14ac:dyDescent="0.25">
      <c r="B72" s="238"/>
      <c r="C72" s="239" t="s">
        <v>75</v>
      </c>
      <c r="D72" s="231"/>
      <c r="E72" s="231"/>
      <c r="F72" s="231">
        <f t="shared" si="1"/>
        <v>0</v>
      </c>
      <c r="G72" s="541"/>
      <c r="H72" s="231"/>
      <c r="I72" s="231">
        <f t="shared" si="3"/>
        <v>0</v>
      </c>
    </row>
    <row r="73" spans="2:9" x14ac:dyDescent="0.25">
      <c r="B73" s="238"/>
      <c r="C73" s="239" t="s">
        <v>76</v>
      </c>
      <c r="D73" s="231"/>
      <c r="E73" s="231"/>
      <c r="F73" s="231">
        <f t="shared" si="1"/>
        <v>0</v>
      </c>
      <c r="G73" s="541"/>
      <c r="H73" s="231"/>
      <c r="I73" s="231">
        <f t="shared" si="3"/>
        <v>0</v>
      </c>
    </row>
    <row r="74" spans="2:9" x14ac:dyDescent="0.25">
      <c r="B74" s="238"/>
      <c r="C74" s="239" t="s">
        <v>77</v>
      </c>
      <c r="D74" s="231"/>
      <c r="E74" s="231"/>
      <c r="F74" s="231">
        <f t="shared" si="1"/>
        <v>0</v>
      </c>
      <c r="G74" s="541"/>
      <c r="H74" s="231"/>
      <c r="I74" s="231">
        <f t="shared" si="3"/>
        <v>0</v>
      </c>
    </row>
    <row r="75" spans="2:9" x14ac:dyDescent="0.25">
      <c r="B75" s="643" t="s">
        <v>909</v>
      </c>
      <c r="C75" s="644"/>
      <c r="D75" s="237">
        <f>SUM(D76:D82)</f>
        <v>0</v>
      </c>
      <c r="E75" s="237">
        <f t="shared" ref="E75" si="15">SUM(E76:E82)</f>
        <v>0</v>
      </c>
      <c r="F75" s="237">
        <f t="shared" si="1"/>
        <v>0</v>
      </c>
      <c r="G75" s="540">
        <f t="shared" ref="G75:H75" si="16">SUM(G76:G82)</f>
        <v>0</v>
      </c>
      <c r="H75" s="237">
        <f t="shared" si="16"/>
        <v>0</v>
      </c>
      <c r="I75" s="237">
        <f t="shared" si="3"/>
        <v>0</v>
      </c>
    </row>
    <row r="76" spans="2:9" x14ac:dyDescent="0.25">
      <c r="B76" s="238"/>
      <c r="C76" s="239" t="s">
        <v>910</v>
      </c>
      <c r="D76" s="231"/>
      <c r="E76" s="231"/>
      <c r="F76" s="231">
        <f t="shared" ref="F76:F82" si="17">+D76+E76</f>
        <v>0</v>
      </c>
      <c r="G76" s="541"/>
      <c r="H76" s="231"/>
      <c r="I76" s="231">
        <f t="shared" ref="I76:I82" si="18">+F76-G76</f>
        <v>0</v>
      </c>
    </row>
    <row r="77" spans="2:9" x14ac:dyDescent="0.25">
      <c r="B77" s="238"/>
      <c r="C77" s="239" t="s">
        <v>79</v>
      </c>
      <c r="D77" s="231"/>
      <c r="E77" s="231"/>
      <c r="F77" s="231">
        <f t="shared" si="17"/>
        <v>0</v>
      </c>
      <c r="G77" s="541"/>
      <c r="H77" s="231"/>
      <c r="I77" s="231">
        <f t="shared" si="18"/>
        <v>0</v>
      </c>
    </row>
    <row r="78" spans="2:9" x14ac:dyDescent="0.25">
      <c r="B78" s="238"/>
      <c r="C78" s="239" t="s">
        <v>80</v>
      </c>
      <c r="D78" s="231"/>
      <c r="E78" s="231"/>
      <c r="F78" s="231">
        <f t="shared" si="17"/>
        <v>0</v>
      </c>
      <c r="G78" s="541"/>
      <c r="H78" s="231"/>
      <c r="I78" s="231">
        <f t="shared" si="18"/>
        <v>0</v>
      </c>
    </row>
    <row r="79" spans="2:9" x14ac:dyDescent="0.25">
      <c r="B79" s="238"/>
      <c r="C79" s="239" t="s">
        <v>81</v>
      </c>
      <c r="D79" s="231"/>
      <c r="E79" s="231"/>
      <c r="F79" s="231">
        <f t="shared" si="17"/>
        <v>0</v>
      </c>
      <c r="G79" s="541"/>
      <c r="H79" s="231"/>
      <c r="I79" s="231">
        <f t="shared" si="18"/>
        <v>0</v>
      </c>
    </row>
    <row r="80" spans="2:9" x14ac:dyDescent="0.25">
      <c r="B80" s="238"/>
      <c r="C80" s="239" t="s">
        <v>82</v>
      </c>
      <c r="D80" s="231"/>
      <c r="E80" s="231"/>
      <c r="F80" s="231">
        <f t="shared" si="17"/>
        <v>0</v>
      </c>
      <c r="G80" s="541"/>
      <c r="H80" s="231"/>
      <c r="I80" s="231">
        <f t="shared" si="18"/>
        <v>0</v>
      </c>
    </row>
    <row r="81" spans="1:10" x14ac:dyDescent="0.25">
      <c r="B81" s="238"/>
      <c r="C81" s="239" t="s">
        <v>83</v>
      </c>
      <c r="D81" s="231"/>
      <c r="E81" s="231"/>
      <c r="F81" s="231">
        <f t="shared" si="17"/>
        <v>0</v>
      </c>
      <c r="G81" s="541"/>
      <c r="H81" s="231"/>
      <c r="I81" s="231">
        <f t="shared" si="18"/>
        <v>0</v>
      </c>
    </row>
    <row r="82" spans="1:10" x14ac:dyDescent="0.25">
      <c r="B82" s="238"/>
      <c r="C82" s="239" t="s">
        <v>911</v>
      </c>
      <c r="D82" s="231"/>
      <c r="E82" s="231"/>
      <c r="F82" s="231">
        <f t="shared" si="17"/>
        <v>0</v>
      </c>
      <c r="G82" s="541"/>
      <c r="H82" s="231"/>
      <c r="I82" s="231">
        <f t="shared" si="18"/>
        <v>0</v>
      </c>
    </row>
    <row r="83" spans="1:10" s="226" customFormat="1" x14ac:dyDescent="0.25">
      <c r="A83" s="223"/>
      <c r="B83" s="240"/>
      <c r="C83" s="241" t="s">
        <v>883</v>
      </c>
      <c r="D83" s="558">
        <f>+D11+D19+D29+D39+D49+D59+D63+D71+D75</f>
        <v>19818362</v>
      </c>
      <c r="E83" s="558">
        <f>+E11+E19+E29+E39+E49+E59+E63+E71+E75</f>
        <v>0</v>
      </c>
      <c r="F83" s="558">
        <f>+F11+F19+F29+F39+F49+F59+F63+F71+F75</f>
        <v>19818362</v>
      </c>
      <c r="G83" s="558">
        <f t="shared" ref="G83" si="19">+G11+G19+G29+G39+G49+G59+G63+G71+G75</f>
        <v>16055121.48</v>
      </c>
      <c r="H83" s="558">
        <f>+H11+H19+H29+H39+H49+H59+H63+H71+H75</f>
        <v>5431090</v>
      </c>
      <c r="I83" s="558">
        <f>+I11+I19+I29+I39+I49+I59+I63+I71+I75</f>
        <v>14387272</v>
      </c>
      <c r="J83" s="223"/>
    </row>
    <row r="85" spans="1:10" ht="15.75" x14ac:dyDescent="0.25">
      <c r="D85" s="242" t="str">
        <f>IF(CAdmon!D22=COG!D83," ","ERROR")</f>
        <v xml:space="preserve"> </v>
      </c>
      <c r="E85" s="242" t="str">
        <f>IF(CAdmon!E22=COG!E83," ","ERROR")</f>
        <v xml:space="preserve"> </v>
      </c>
      <c r="F85" s="242" t="str">
        <f>IF(CAdmon!F22=COG!F83," ","ERROR")</f>
        <v xml:space="preserve"> </v>
      </c>
      <c r="G85" s="544" t="str">
        <f>IF(CAdmon!G22=COG!G83," ","ERROR")</f>
        <v>ERROR</v>
      </c>
      <c r="H85" s="242" t="str">
        <f>IF(CAdmon!H22=COG!H83," ","ERROR")</f>
        <v xml:space="preserve"> </v>
      </c>
      <c r="I85" s="242" t="str">
        <f>IF(CAdmon!I22=COG!I83," ","ERROR")</f>
        <v xml:space="preserve"> </v>
      </c>
    </row>
  </sheetData>
  <mergeCells count="17">
    <mergeCell ref="B63:C63"/>
    <mergeCell ref="B71:C71"/>
    <mergeCell ref="B75:C75"/>
    <mergeCell ref="B11:C11"/>
    <mergeCell ref="B19:C19"/>
    <mergeCell ref="B29:C29"/>
    <mergeCell ref="B39:C39"/>
    <mergeCell ref="B49:C49"/>
    <mergeCell ref="B59:C59"/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22" workbookViewId="0">
      <selection activeCell="G28" sqref="G28"/>
    </sheetView>
  </sheetViews>
  <sheetFormatPr baseColWidth="10" defaultRowHeight="15" x14ac:dyDescent="0.25"/>
  <cols>
    <col min="1" max="1" width="1.5703125" style="212" customWidth="1"/>
    <col min="2" max="2" width="4.5703125" style="10" customWidth="1"/>
    <col min="3" max="3" width="60.28515625" style="203" customWidth="1"/>
    <col min="4" max="9" width="12.7109375" style="203" customWidth="1"/>
    <col min="10" max="10" width="3.28515625" style="212" customWidth="1"/>
  </cols>
  <sheetData>
    <row r="1" spans="1:10" s="212" customFormat="1" ht="8.25" customHeight="1" x14ac:dyDescent="0.25">
      <c r="B1" s="172"/>
      <c r="C1" s="172"/>
      <c r="D1" s="172"/>
      <c r="E1" s="172"/>
      <c r="F1" s="172"/>
      <c r="G1" s="172"/>
      <c r="H1" s="172"/>
      <c r="I1" s="172"/>
    </row>
    <row r="2" spans="1:10" x14ac:dyDescent="0.25">
      <c r="B2" s="614" t="str">
        <f>BALANZA!Q9</f>
        <v>Cuenta Pública 2016</v>
      </c>
      <c r="C2" s="615"/>
      <c r="D2" s="615"/>
      <c r="E2" s="615"/>
      <c r="F2" s="615"/>
      <c r="G2" s="615"/>
      <c r="H2" s="615"/>
      <c r="I2" s="616"/>
    </row>
    <row r="3" spans="1:10" x14ac:dyDescent="0.25">
      <c r="B3" s="617" t="str">
        <f>BALANZA!Q6</f>
        <v>EL COLEGIO DE TLAXCALA, A.C.</v>
      </c>
      <c r="C3" s="618"/>
      <c r="D3" s="618"/>
      <c r="E3" s="618"/>
      <c r="F3" s="618"/>
      <c r="G3" s="618"/>
      <c r="H3" s="618"/>
      <c r="I3" s="619"/>
    </row>
    <row r="4" spans="1:10" x14ac:dyDescent="0.25">
      <c r="B4" s="617" t="s">
        <v>874</v>
      </c>
      <c r="C4" s="618"/>
      <c r="D4" s="618"/>
      <c r="E4" s="618"/>
      <c r="F4" s="618"/>
      <c r="G4" s="618"/>
      <c r="H4" s="618"/>
      <c r="I4" s="619"/>
    </row>
    <row r="5" spans="1:10" x14ac:dyDescent="0.25">
      <c r="B5" s="617" t="s">
        <v>912</v>
      </c>
      <c r="C5" s="618"/>
      <c r="D5" s="618"/>
      <c r="E5" s="618"/>
      <c r="F5" s="618"/>
      <c r="G5" s="618"/>
      <c r="H5" s="618"/>
      <c r="I5" s="619"/>
    </row>
    <row r="6" spans="1:10" x14ac:dyDescent="0.25">
      <c r="B6" s="620" t="str">
        <f>BALANZA!Q8</f>
        <v>Del 1 de enero al 31 de marzo de 2016</v>
      </c>
      <c r="C6" s="621"/>
      <c r="D6" s="621"/>
      <c r="E6" s="621"/>
      <c r="F6" s="621"/>
      <c r="G6" s="621"/>
      <c r="H6" s="621"/>
      <c r="I6" s="622"/>
    </row>
    <row r="7" spans="1:10" s="212" customFormat="1" ht="9" customHeight="1" x14ac:dyDescent="0.25">
      <c r="B7" s="172"/>
      <c r="C7" s="172"/>
      <c r="D7" s="172"/>
      <c r="E7" s="172"/>
      <c r="F7" s="172"/>
      <c r="G7" s="172"/>
      <c r="H7" s="172"/>
      <c r="I7" s="172"/>
    </row>
    <row r="8" spans="1:10" x14ac:dyDescent="0.25">
      <c r="B8" s="635" t="s">
        <v>40</v>
      </c>
      <c r="C8" s="635"/>
      <c r="D8" s="636" t="s">
        <v>876</v>
      </c>
      <c r="E8" s="636"/>
      <c r="F8" s="636"/>
      <c r="G8" s="636"/>
      <c r="H8" s="636"/>
      <c r="I8" s="636" t="s">
        <v>877</v>
      </c>
    </row>
    <row r="9" spans="1:10" ht="22.5" x14ac:dyDescent="0.25">
      <c r="B9" s="635"/>
      <c r="C9" s="635"/>
      <c r="D9" s="213" t="s">
        <v>878</v>
      </c>
      <c r="E9" s="213" t="s">
        <v>879</v>
      </c>
      <c r="F9" s="213" t="s">
        <v>852</v>
      </c>
      <c r="G9" s="213" t="s">
        <v>853</v>
      </c>
      <c r="H9" s="213" t="s">
        <v>880</v>
      </c>
      <c r="I9" s="636"/>
    </row>
    <row r="10" spans="1:10" x14ac:dyDescent="0.25">
      <c r="B10" s="635"/>
      <c r="C10" s="635"/>
      <c r="D10" s="213">
        <v>1</v>
      </c>
      <c r="E10" s="213">
        <v>2</v>
      </c>
      <c r="F10" s="213" t="s">
        <v>881</v>
      </c>
      <c r="G10" s="213">
        <v>4</v>
      </c>
      <c r="H10" s="213">
        <v>5</v>
      </c>
      <c r="I10" s="213" t="s">
        <v>882</v>
      </c>
    </row>
    <row r="11" spans="1:10" ht="3" customHeight="1" x14ac:dyDescent="0.25">
      <c r="B11" s="243"/>
      <c r="C11" s="228"/>
      <c r="D11" s="229"/>
      <c r="E11" s="229"/>
      <c r="F11" s="229"/>
      <c r="G11" s="229"/>
      <c r="H11" s="229"/>
      <c r="I11" s="229"/>
    </row>
    <row r="12" spans="1:10" s="246" customFormat="1" x14ac:dyDescent="0.25">
      <c r="A12" s="244"/>
      <c r="B12" s="645" t="s">
        <v>913</v>
      </c>
      <c r="C12" s="646"/>
      <c r="D12" s="245">
        <f>SUM(D13:D20)</f>
        <v>0</v>
      </c>
      <c r="E12" s="245">
        <f t="shared" ref="E12:I12" si="0">SUM(E13:E20)</f>
        <v>0</v>
      </c>
      <c r="F12" s="245">
        <f t="shared" si="0"/>
        <v>0</v>
      </c>
      <c r="G12" s="245">
        <f t="shared" si="0"/>
        <v>0</v>
      </c>
      <c r="H12" s="245">
        <f t="shared" si="0"/>
        <v>0</v>
      </c>
      <c r="I12" s="245">
        <f t="shared" si="0"/>
        <v>0</v>
      </c>
      <c r="J12" s="244"/>
    </row>
    <row r="13" spans="1:10" s="246" customFormat="1" x14ac:dyDescent="0.25">
      <c r="A13" s="244"/>
      <c r="B13" s="247"/>
      <c r="C13" s="248" t="s">
        <v>914</v>
      </c>
      <c r="D13" s="219"/>
      <c r="E13" s="219"/>
      <c r="F13" s="219">
        <f>+D13+E13</f>
        <v>0</v>
      </c>
      <c r="G13" s="219"/>
      <c r="H13" s="219"/>
      <c r="I13" s="219">
        <f>+F13-G13</f>
        <v>0</v>
      </c>
      <c r="J13" s="244"/>
    </row>
    <row r="14" spans="1:10" s="246" customFormat="1" x14ac:dyDescent="0.25">
      <c r="A14" s="244"/>
      <c r="B14" s="247"/>
      <c r="C14" s="248" t="s">
        <v>915</v>
      </c>
      <c r="D14" s="219"/>
      <c r="E14" s="219"/>
      <c r="F14" s="219">
        <f t="shared" ref="F14:F20" si="1">+D14+E14</f>
        <v>0</v>
      </c>
      <c r="G14" s="219"/>
      <c r="H14" s="219"/>
      <c r="I14" s="219">
        <f t="shared" ref="I14:I20" si="2">+F14-G14</f>
        <v>0</v>
      </c>
      <c r="J14" s="244"/>
    </row>
    <row r="15" spans="1:10" s="246" customFormat="1" x14ac:dyDescent="0.25">
      <c r="A15" s="244"/>
      <c r="B15" s="247"/>
      <c r="C15" s="248" t="s">
        <v>916</v>
      </c>
      <c r="D15" s="219"/>
      <c r="E15" s="219"/>
      <c r="F15" s="219">
        <f t="shared" si="1"/>
        <v>0</v>
      </c>
      <c r="G15" s="219"/>
      <c r="H15" s="219"/>
      <c r="I15" s="219">
        <f t="shared" si="2"/>
        <v>0</v>
      </c>
      <c r="J15" s="244"/>
    </row>
    <row r="16" spans="1:10" s="246" customFormat="1" x14ac:dyDescent="0.25">
      <c r="A16" s="244"/>
      <c r="B16" s="247"/>
      <c r="C16" s="248" t="s">
        <v>917</v>
      </c>
      <c r="D16" s="219"/>
      <c r="E16" s="219"/>
      <c r="F16" s="219">
        <f t="shared" si="1"/>
        <v>0</v>
      </c>
      <c r="G16" s="219"/>
      <c r="H16" s="219"/>
      <c r="I16" s="219">
        <f t="shared" si="2"/>
        <v>0</v>
      </c>
      <c r="J16" s="244"/>
    </row>
    <row r="17" spans="1:10" s="246" customFormat="1" x14ac:dyDescent="0.25">
      <c r="A17" s="244"/>
      <c r="B17" s="247"/>
      <c r="C17" s="248" t="s">
        <v>918</v>
      </c>
      <c r="D17" s="219"/>
      <c r="E17" s="219"/>
      <c r="F17" s="219">
        <f t="shared" si="1"/>
        <v>0</v>
      </c>
      <c r="G17" s="219"/>
      <c r="H17" s="219"/>
      <c r="I17" s="219">
        <f t="shared" si="2"/>
        <v>0</v>
      </c>
      <c r="J17" s="244"/>
    </row>
    <row r="18" spans="1:10" s="246" customFormat="1" x14ac:dyDescent="0.25">
      <c r="A18" s="244"/>
      <c r="B18" s="247"/>
      <c r="C18" s="248" t="s">
        <v>919</v>
      </c>
      <c r="D18" s="219"/>
      <c r="E18" s="219"/>
      <c r="F18" s="219">
        <f t="shared" si="1"/>
        <v>0</v>
      </c>
      <c r="G18" s="219"/>
      <c r="H18" s="219"/>
      <c r="I18" s="219">
        <f t="shared" si="2"/>
        <v>0</v>
      </c>
      <c r="J18" s="244"/>
    </row>
    <row r="19" spans="1:10" s="246" customFormat="1" x14ac:dyDescent="0.25">
      <c r="A19" s="244"/>
      <c r="B19" s="247"/>
      <c r="C19" s="248" t="s">
        <v>920</v>
      </c>
      <c r="D19" s="219"/>
      <c r="E19" s="219"/>
      <c r="F19" s="219">
        <f t="shared" si="1"/>
        <v>0</v>
      </c>
      <c r="G19" s="219"/>
      <c r="H19" s="219"/>
      <c r="I19" s="219">
        <f t="shared" si="2"/>
        <v>0</v>
      </c>
      <c r="J19" s="244"/>
    </row>
    <row r="20" spans="1:10" s="246" customFormat="1" x14ac:dyDescent="0.25">
      <c r="A20" s="244"/>
      <c r="B20" s="247"/>
      <c r="C20" s="248" t="s">
        <v>480</v>
      </c>
      <c r="D20" s="219"/>
      <c r="E20" s="219"/>
      <c r="F20" s="219">
        <f t="shared" si="1"/>
        <v>0</v>
      </c>
      <c r="G20" s="219"/>
      <c r="H20" s="219"/>
      <c r="I20" s="219">
        <f t="shared" si="2"/>
        <v>0</v>
      </c>
      <c r="J20" s="244"/>
    </row>
    <row r="21" spans="1:10" s="246" customFormat="1" x14ac:dyDescent="0.25">
      <c r="A21" s="244"/>
      <c r="B21" s="247"/>
      <c r="C21" s="248"/>
      <c r="D21" s="219"/>
      <c r="E21" s="219"/>
      <c r="F21" s="219"/>
      <c r="G21" s="219"/>
      <c r="H21" s="219"/>
      <c r="I21" s="219"/>
      <c r="J21" s="244"/>
    </row>
    <row r="22" spans="1:10" s="250" customFormat="1" x14ac:dyDescent="0.25">
      <c r="A22" s="249"/>
      <c r="B22" s="645" t="s">
        <v>921</v>
      </c>
      <c r="C22" s="646"/>
      <c r="D22" s="553">
        <f>SUM(D23:D29)</f>
        <v>19818362</v>
      </c>
      <c r="E22" s="553">
        <f t="shared" ref="E22" si="3">SUM(E23:E29)</f>
        <v>0</v>
      </c>
      <c r="F22" s="553">
        <f>+D22+E22</f>
        <v>19818362</v>
      </c>
      <c r="G22" s="553">
        <f t="shared" ref="G22:H22" si="4">SUM(G23:G29)</f>
        <v>5425890</v>
      </c>
      <c r="H22" s="553">
        <f t="shared" si="4"/>
        <v>5431090</v>
      </c>
      <c r="I22" s="553">
        <f>+F22-H22</f>
        <v>14387272</v>
      </c>
      <c r="J22" s="249"/>
    </row>
    <row r="23" spans="1:10" s="246" customFormat="1" x14ac:dyDescent="0.25">
      <c r="A23" s="244"/>
      <c r="B23" s="247"/>
      <c r="C23" s="248" t="s">
        <v>922</v>
      </c>
      <c r="D23" s="251"/>
      <c r="E23" s="251"/>
      <c r="F23" s="219">
        <f t="shared" ref="F23:F29" si="5">+D23+E23</f>
        <v>0</v>
      </c>
      <c r="G23" s="251"/>
      <c r="H23" s="251"/>
      <c r="I23" s="219">
        <f t="shared" ref="I23:I29" si="6">+F23-G23</f>
        <v>0</v>
      </c>
      <c r="J23" s="244"/>
    </row>
    <row r="24" spans="1:10" s="246" customFormat="1" x14ac:dyDescent="0.25">
      <c r="A24" s="244"/>
      <c r="B24" s="247"/>
      <c r="C24" s="248" t="s">
        <v>923</v>
      </c>
      <c r="D24" s="251"/>
      <c r="E24" s="251"/>
      <c r="F24" s="219">
        <f t="shared" si="5"/>
        <v>0</v>
      </c>
      <c r="G24" s="251"/>
      <c r="H24" s="251"/>
      <c r="I24" s="219">
        <f t="shared" si="6"/>
        <v>0</v>
      </c>
      <c r="J24" s="244"/>
    </row>
    <row r="25" spans="1:10" s="246" customFormat="1" x14ac:dyDescent="0.25">
      <c r="A25" s="244"/>
      <c r="B25" s="247"/>
      <c r="C25" s="248" t="s">
        <v>924</v>
      </c>
      <c r="D25" s="251"/>
      <c r="E25" s="251"/>
      <c r="F25" s="219">
        <f t="shared" si="5"/>
        <v>0</v>
      </c>
      <c r="G25" s="251"/>
      <c r="H25" s="251"/>
      <c r="I25" s="219">
        <f t="shared" si="6"/>
        <v>0</v>
      </c>
      <c r="J25" s="244"/>
    </row>
    <row r="26" spans="1:10" s="246" customFormat="1" x14ac:dyDescent="0.25">
      <c r="A26" s="244"/>
      <c r="B26" s="247"/>
      <c r="C26" s="248" t="s">
        <v>925</v>
      </c>
      <c r="D26" s="251"/>
      <c r="E26" s="251"/>
      <c r="F26" s="219">
        <f t="shared" si="5"/>
        <v>0</v>
      </c>
      <c r="G26" s="251"/>
      <c r="H26" s="251"/>
      <c r="I26" s="219">
        <f t="shared" si="6"/>
        <v>0</v>
      </c>
      <c r="J26" s="244"/>
    </row>
    <row r="27" spans="1:10" s="246" customFormat="1" x14ac:dyDescent="0.25">
      <c r="A27" s="244"/>
      <c r="B27" s="247"/>
      <c r="C27" s="248" t="s">
        <v>926</v>
      </c>
      <c r="D27" s="554">
        <v>19818362</v>
      </c>
      <c r="E27" s="554">
        <v>0</v>
      </c>
      <c r="F27" s="549">
        <f t="shared" si="5"/>
        <v>19818362</v>
      </c>
      <c r="G27" s="554">
        <v>5425890</v>
      </c>
      <c r="H27" s="554">
        <f>BALANZA!J492</f>
        <v>5431090</v>
      </c>
      <c r="I27" s="543">
        <f>+F27-H27</f>
        <v>14387272</v>
      </c>
      <c r="J27" s="244"/>
    </row>
    <row r="28" spans="1:10" s="246" customFormat="1" x14ac:dyDescent="0.25">
      <c r="A28" s="244"/>
      <c r="B28" s="247"/>
      <c r="C28" s="248" t="s">
        <v>927</v>
      </c>
      <c r="D28" s="251"/>
      <c r="E28" s="251"/>
      <c r="F28" s="219">
        <f t="shared" si="5"/>
        <v>0</v>
      </c>
      <c r="G28" s="251"/>
      <c r="H28" s="251"/>
      <c r="I28" s="219">
        <f t="shared" si="6"/>
        <v>0</v>
      </c>
      <c r="J28" s="244"/>
    </row>
    <row r="29" spans="1:10" s="246" customFormat="1" x14ac:dyDescent="0.25">
      <c r="A29" s="244"/>
      <c r="B29" s="247"/>
      <c r="C29" s="248" t="s">
        <v>928</v>
      </c>
      <c r="D29" s="251"/>
      <c r="E29" s="251"/>
      <c r="F29" s="219">
        <f t="shared" si="5"/>
        <v>0</v>
      </c>
      <c r="G29" s="251"/>
      <c r="H29" s="251"/>
      <c r="I29" s="219">
        <f t="shared" si="6"/>
        <v>0</v>
      </c>
      <c r="J29" s="244"/>
    </row>
    <row r="30" spans="1:10" s="246" customFormat="1" x14ac:dyDescent="0.25">
      <c r="A30" s="244"/>
      <c r="B30" s="247"/>
      <c r="C30" s="248"/>
      <c r="D30" s="251"/>
      <c r="E30" s="251"/>
      <c r="F30" s="251"/>
      <c r="G30" s="251"/>
      <c r="H30" s="251"/>
      <c r="I30" s="251"/>
      <c r="J30" s="244"/>
    </row>
    <row r="31" spans="1:10" s="250" customFormat="1" x14ac:dyDescent="0.25">
      <c r="A31" s="249"/>
      <c r="B31" s="645" t="s">
        <v>929</v>
      </c>
      <c r="C31" s="646"/>
      <c r="D31" s="252">
        <f>SUM(D32:D40)</f>
        <v>0</v>
      </c>
      <c r="E31" s="252">
        <f>SUM(E32:E40)</f>
        <v>0</v>
      </c>
      <c r="F31" s="252">
        <f>+D31+E31</f>
        <v>0</v>
      </c>
      <c r="G31" s="252">
        <f>SUM(G32:G40)</f>
        <v>0</v>
      </c>
      <c r="H31" s="252">
        <f>SUM(H32:H40)</f>
        <v>0</v>
      </c>
      <c r="I31" s="252">
        <f>+F31-G31</f>
        <v>0</v>
      </c>
      <c r="J31" s="249"/>
    </row>
    <row r="32" spans="1:10" s="246" customFormat="1" x14ac:dyDescent="0.25">
      <c r="A32" s="244"/>
      <c r="B32" s="247"/>
      <c r="C32" s="248" t="s">
        <v>930</v>
      </c>
      <c r="D32" s="251"/>
      <c r="E32" s="251"/>
      <c r="F32" s="251">
        <f t="shared" ref="F32:F40" si="7">+D32+E32</f>
        <v>0</v>
      </c>
      <c r="G32" s="251"/>
      <c r="H32" s="251"/>
      <c r="I32" s="251">
        <f t="shared" ref="I32:I40" si="8">+F32-G32</f>
        <v>0</v>
      </c>
      <c r="J32" s="244"/>
    </row>
    <row r="33" spans="1:10" s="246" customFormat="1" x14ac:dyDescent="0.25">
      <c r="A33" s="244"/>
      <c r="B33" s="247"/>
      <c r="C33" s="248" t="s">
        <v>931</v>
      </c>
      <c r="D33" s="251"/>
      <c r="E33" s="251"/>
      <c r="F33" s="251">
        <f t="shared" si="7"/>
        <v>0</v>
      </c>
      <c r="G33" s="251"/>
      <c r="H33" s="251"/>
      <c r="I33" s="251">
        <f t="shared" si="8"/>
        <v>0</v>
      </c>
      <c r="J33" s="244"/>
    </row>
    <row r="34" spans="1:10" s="246" customFormat="1" x14ac:dyDescent="0.25">
      <c r="A34" s="244"/>
      <c r="B34" s="247"/>
      <c r="C34" s="248" t="s">
        <v>932</v>
      </c>
      <c r="D34" s="251"/>
      <c r="E34" s="251"/>
      <c r="F34" s="251">
        <f t="shared" si="7"/>
        <v>0</v>
      </c>
      <c r="G34" s="251"/>
      <c r="H34" s="251"/>
      <c r="I34" s="251">
        <f t="shared" si="8"/>
        <v>0</v>
      </c>
      <c r="J34" s="244"/>
    </row>
    <row r="35" spans="1:10" s="246" customFormat="1" x14ac:dyDescent="0.25">
      <c r="A35" s="244"/>
      <c r="B35" s="247"/>
      <c r="C35" s="248" t="s">
        <v>933</v>
      </c>
      <c r="D35" s="251"/>
      <c r="E35" s="251"/>
      <c r="F35" s="251">
        <f t="shared" si="7"/>
        <v>0</v>
      </c>
      <c r="G35" s="251"/>
      <c r="H35" s="251"/>
      <c r="I35" s="251">
        <f t="shared" si="8"/>
        <v>0</v>
      </c>
      <c r="J35" s="244"/>
    </row>
    <row r="36" spans="1:10" s="246" customFormat="1" x14ac:dyDescent="0.25">
      <c r="A36" s="244"/>
      <c r="B36" s="247"/>
      <c r="C36" s="248" t="s">
        <v>934</v>
      </c>
      <c r="D36" s="251"/>
      <c r="E36" s="251"/>
      <c r="F36" s="251">
        <f t="shared" si="7"/>
        <v>0</v>
      </c>
      <c r="G36" s="251"/>
      <c r="H36" s="251"/>
      <c r="I36" s="251">
        <f t="shared" si="8"/>
        <v>0</v>
      </c>
      <c r="J36" s="244"/>
    </row>
    <row r="37" spans="1:10" s="246" customFormat="1" x14ac:dyDescent="0.25">
      <c r="A37" s="244"/>
      <c r="B37" s="247"/>
      <c r="C37" s="248" t="s">
        <v>935</v>
      </c>
      <c r="D37" s="251"/>
      <c r="E37" s="251"/>
      <c r="F37" s="251">
        <f t="shared" si="7"/>
        <v>0</v>
      </c>
      <c r="G37" s="251"/>
      <c r="H37" s="251"/>
      <c r="I37" s="251">
        <f t="shared" si="8"/>
        <v>0</v>
      </c>
      <c r="J37" s="244"/>
    </row>
    <row r="38" spans="1:10" s="246" customFormat="1" x14ac:dyDescent="0.25">
      <c r="A38" s="244"/>
      <c r="B38" s="247"/>
      <c r="C38" s="248" t="s">
        <v>936</v>
      </c>
      <c r="D38" s="251"/>
      <c r="E38" s="251"/>
      <c r="F38" s="251">
        <f t="shared" si="7"/>
        <v>0</v>
      </c>
      <c r="G38" s="251"/>
      <c r="H38" s="251"/>
      <c r="I38" s="251">
        <f t="shared" si="8"/>
        <v>0</v>
      </c>
      <c r="J38" s="244"/>
    </row>
    <row r="39" spans="1:10" s="246" customFormat="1" x14ac:dyDescent="0.25">
      <c r="A39" s="244"/>
      <c r="B39" s="247"/>
      <c r="C39" s="248" t="s">
        <v>937</v>
      </c>
      <c r="D39" s="251"/>
      <c r="E39" s="251"/>
      <c r="F39" s="251">
        <f t="shared" si="7"/>
        <v>0</v>
      </c>
      <c r="G39" s="251"/>
      <c r="H39" s="251"/>
      <c r="I39" s="251">
        <f t="shared" si="8"/>
        <v>0</v>
      </c>
      <c r="J39" s="244"/>
    </row>
    <row r="40" spans="1:10" s="246" customFormat="1" x14ac:dyDescent="0.25">
      <c r="A40" s="244"/>
      <c r="B40" s="247"/>
      <c r="C40" s="248" t="s">
        <v>938</v>
      </c>
      <c r="D40" s="251"/>
      <c r="E40" s="251"/>
      <c r="F40" s="251">
        <f t="shared" si="7"/>
        <v>0</v>
      </c>
      <c r="G40" s="251"/>
      <c r="H40" s="251"/>
      <c r="I40" s="251">
        <f t="shared" si="8"/>
        <v>0</v>
      </c>
      <c r="J40" s="244"/>
    </row>
    <row r="41" spans="1:10" s="246" customFormat="1" x14ac:dyDescent="0.25">
      <c r="A41" s="244"/>
      <c r="B41" s="247"/>
      <c r="C41" s="248"/>
      <c r="D41" s="251"/>
      <c r="E41" s="251"/>
      <c r="F41" s="251"/>
      <c r="G41" s="251"/>
      <c r="H41" s="251"/>
      <c r="I41" s="251"/>
      <c r="J41" s="244"/>
    </row>
    <row r="42" spans="1:10" s="250" customFormat="1" x14ac:dyDescent="0.25">
      <c r="A42" s="249"/>
      <c r="B42" s="645" t="s">
        <v>939</v>
      </c>
      <c r="C42" s="646"/>
      <c r="D42" s="252">
        <f>SUM(D43:D46)</f>
        <v>0</v>
      </c>
      <c r="E42" s="252">
        <f>SUM(E43:E46)</f>
        <v>0</v>
      </c>
      <c r="F42" s="252">
        <f>+D42+E42</f>
        <v>0</v>
      </c>
      <c r="G42" s="252">
        <f t="shared" ref="G42:H42" si="9">SUM(G43:G46)</f>
        <v>0</v>
      </c>
      <c r="H42" s="252">
        <f t="shared" si="9"/>
        <v>0</v>
      </c>
      <c r="I42" s="252">
        <f>+F42-G42</f>
        <v>0</v>
      </c>
      <c r="J42" s="249"/>
    </row>
    <row r="43" spans="1:10" s="246" customFormat="1" x14ac:dyDescent="0.25">
      <c r="A43" s="244"/>
      <c r="B43" s="247"/>
      <c r="C43" s="248" t="s">
        <v>940</v>
      </c>
      <c r="D43" s="251"/>
      <c r="E43" s="251"/>
      <c r="F43" s="251">
        <f t="shared" ref="F43:F46" si="10">+D43+E43</f>
        <v>0</v>
      </c>
      <c r="G43" s="251"/>
      <c r="H43" s="251"/>
      <c r="I43" s="251">
        <f t="shared" ref="I43:I46" si="11">+F43-G43</f>
        <v>0</v>
      </c>
      <c r="J43" s="244"/>
    </row>
    <row r="44" spans="1:10" s="246" customFormat="1" ht="22.5" x14ac:dyDescent="0.25">
      <c r="A44" s="244"/>
      <c r="B44" s="247"/>
      <c r="C44" s="248" t="s">
        <v>941</v>
      </c>
      <c r="D44" s="251"/>
      <c r="E44" s="251"/>
      <c r="F44" s="251">
        <f t="shared" si="10"/>
        <v>0</v>
      </c>
      <c r="G44" s="251"/>
      <c r="H44" s="251"/>
      <c r="I44" s="251">
        <f t="shared" si="11"/>
        <v>0</v>
      </c>
      <c r="J44" s="244"/>
    </row>
    <row r="45" spans="1:10" s="246" customFormat="1" x14ac:dyDescent="0.25">
      <c r="A45" s="244"/>
      <c r="B45" s="247"/>
      <c r="C45" s="248" t="s">
        <v>942</v>
      </c>
      <c r="D45" s="251"/>
      <c r="E45" s="251"/>
      <c r="F45" s="251">
        <f t="shared" si="10"/>
        <v>0</v>
      </c>
      <c r="G45" s="251"/>
      <c r="H45" s="251"/>
      <c r="I45" s="251">
        <f t="shared" si="11"/>
        <v>0</v>
      </c>
      <c r="J45" s="244"/>
    </row>
    <row r="46" spans="1:10" s="246" customFormat="1" x14ac:dyDescent="0.25">
      <c r="A46" s="244"/>
      <c r="B46" s="247"/>
      <c r="C46" s="248" t="s">
        <v>943</v>
      </c>
      <c r="D46" s="251"/>
      <c r="E46" s="251"/>
      <c r="F46" s="251">
        <f t="shared" si="10"/>
        <v>0</v>
      </c>
      <c r="G46" s="251"/>
      <c r="H46" s="251"/>
      <c r="I46" s="251">
        <f t="shared" si="11"/>
        <v>0</v>
      </c>
      <c r="J46" s="244"/>
    </row>
    <row r="47" spans="1:10" s="246" customFormat="1" x14ac:dyDescent="0.25">
      <c r="A47" s="244"/>
      <c r="B47" s="247"/>
      <c r="C47" s="476"/>
      <c r="D47" s="253"/>
      <c r="E47" s="253"/>
      <c r="F47" s="253"/>
      <c r="G47" s="253"/>
      <c r="H47" s="253"/>
      <c r="I47" s="253"/>
      <c r="J47" s="244"/>
    </row>
    <row r="48" spans="1:10" s="250" customFormat="1" ht="14.25" customHeight="1" x14ac:dyDescent="0.25">
      <c r="A48" s="249"/>
      <c r="B48" s="254"/>
      <c r="C48" s="477" t="s">
        <v>883</v>
      </c>
      <c r="D48" s="557">
        <f>+D12+D22+D31+D42</f>
        <v>19818362</v>
      </c>
      <c r="E48" s="557">
        <f t="shared" ref="E48:I48" si="12">+E12+E22+E31+E42</f>
        <v>0</v>
      </c>
      <c r="F48" s="557">
        <f t="shared" si="12"/>
        <v>19818362</v>
      </c>
      <c r="G48" s="557">
        <f t="shared" si="12"/>
        <v>5425890</v>
      </c>
      <c r="H48" s="557">
        <f t="shared" si="12"/>
        <v>5431090</v>
      </c>
      <c r="I48" s="557">
        <f t="shared" si="12"/>
        <v>14387272</v>
      </c>
      <c r="J48" s="249"/>
    </row>
    <row r="49" spans="2:9" x14ac:dyDescent="0.25">
      <c r="B49" s="478"/>
      <c r="C49" s="479"/>
      <c r="D49" s="479"/>
      <c r="E49" s="479"/>
      <c r="F49" s="479"/>
      <c r="G49" s="479"/>
      <c r="H49" s="479"/>
      <c r="I49" s="479"/>
    </row>
    <row r="50" spans="2:9" ht="15.75" x14ac:dyDescent="0.25">
      <c r="D50" s="255" t="str">
        <f>IF(D48=CAdmon!D22," ","ERROR")</f>
        <v xml:space="preserve"> </v>
      </c>
      <c r="E50" s="255" t="str">
        <f>IF(E48=CAdmon!E22," ","ERROR")</f>
        <v xml:space="preserve"> </v>
      </c>
      <c r="F50" s="255" t="str">
        <f>IF(F48=CAdmon!F22," ","ERROR")</f>
        <v xml:space="preserve"> </v>
      </c>
      <c r="G50" s="255" t="str">
        <f>IF(G48=CAdmon!G22," ","ERROR")</f>
        <v xml:space="preserve"> </v>
      </c>
      <c r="H50" s="255" t="str">
        <f>IF(H48=CAdmon!H22," ","ERROR")</f>
        <v xml:space="preserve"> </v>
      </c>
      <c r="I50" s="255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3" sqref="B3:I3"/>
    </sheetView>
  </sheetViews>
  <sheetFormatPr baseColWidth="10" defaultRowHeight="14.25" x14ac:dyDescent="0.2"/>
  <cols>
    <col min="1" max="1" width="3" style="12" customWidth="1"/>
    <col min="2" max="2" width="18.5703125" style="12" customWidth="1"/>
    <col min="3" max="3" width="19" style="12" customWidth="1"/>
    <col min="4" max="7" width="11.42578125" style="12"/>
    <col min="8" max="8" width="13.42578125" style="12" customWidth="1"/>
    <col min="9" max="9" width="10" style="12" customWidth="1"/>
    <col min="10" max="10" width="3" style="12" customWidth="1"/>
    <col min="11" max="16384" width="11.42578125" style="12"/>
  </cols>
  <sheetData>
    <row r="1" spans="1:10" x14ac:dyDescent="0.2">
      <c r="A1" s="256"/>
      <c r="B1" s="256"/>
      <c r="C1" s="256"/>
      <c r="D1" s="256"/>
      <c r="E1" s="256"/>
      <c r="F1" s="256"/>
      <c r="G1" s="256"/>
      <c r="H1" s="256"/>
      <c r="I1" s="256"/>
      <c r="J1" s="256"/>
    </row>
    <row r="2" spans="1:10" x14ac:dyDescent="0.2">
      <c r="A2" s="256"/>
      <c r="B2" s="614" t="str">
        <f>BALANZA!Q9</f>
        <v>Cuenta Pública 2016</v>
      </c>
      <c r="C2" s="615"/>
      <c r="D2" s="615"/>
      <c r="E2" s="615"/>
      <c r="F2" s="615"/>
      <c r="G2" s="615"/>
      <c r="H2" s="615"/>
      <c r="I2" s="616"/>
      <c r="J2" s="256"/>
    </row>
    <row r="3" spans="1:10" x14ac:dyDescent="0.2">
      <c r="A3" s="256"/>
      <c r="B3" s="617" t="s">
        <v>884</v>
      </c>
      <c r="C3" s="618"/>
      <c r="D3" s="618"/>
      <c r="E3" s="618"/>
      <c r="F3" s="618"/>
      <c r="G3" s="618"/>
      <c r="H3" s="618"/>
      <c r="I3" s="619"/>
      <c r="J3" s="256"/>
    </row>
    <row r="4" spans="1:10" x14ac:dyDescent="0.2">
      <c r="A4" s="256"/>
      <c r="B4" s="617" t="s">
        <v>228</v>
      </c>
      <c r="C4" s="618"/>
      <c r="D4" s="618"/>
      <c r="E4" s="618"/>
      <c r="F4" s="618"/>
      <c r="G4" s="618"/>
      <c r="H4" s="618"/>
      <c r="I4" s="619"/>
      <c r="J4" s="256"/>
    </row>
    <row r="5" spans="1:10" x14ac:dyDescent="0.2">
      <c r="A5" s="256"/>
      <c r="B5" s="620" t="str">
        <f>BALANZA!Q8</f>
        <v>Del 1 de enero al 31 de marzo de 2016</v>
      </c>
      <c r="C5" s="621"/>
      <c r="D5" s="621"/>
      <c r="E5" s="621"/>
      <c r="F5" s="621"/>
      <c r="G5" s="621"/>
      <c r="H5" s="621"/>
      <c r="I5" s="622"/>
      <c r="J5" s="256"/>
    </row>
    <row r="6" spans="1:10" x14ac:dyDescent="0.2">
      <c r="A6" s="256"/>
      <c r="B6" s="256"/>
      <c r="C6" s="256"/>
      <c r="D6" s="256"/>
      <c r="E6" s="256"/>
      <c r="F6" s="256"/>
      <c r="G6" s="256"/>
      <c r="H6" s="256"/>
      <c r="I6" s="256"/>
      <c r="J6" s="256"/>
    </row>
    <row r="7" spans="1:10" x14ac:dyDescent="0.2">
      <c r="A7" s="256"/>
      <c r="B7" s="647" t="s">
        <v>944</v>
      </c>
      <c r="C7" s="647"/>
      <c r="D7" s="647" t="s">
        <v>945</v>
      </c>
      <c r="E7" s="647"/>
      <c r="F7" s="647" t="s">
        <v>946</v>
      </c>
      <c r="G7" s="647"/>
      <c r="H7" s="647" t="s">
        <v>947</v>
      </c>
      <c r="I7" s="647"/>
      <c r="J7" s="256"/>
    </row>
    <row r="8" spans="1:10" x14ac:dyDescent="0.2">
      <c r="A8" s="256"/>
      <c r="B8" s="647"/>
      <c r="C8" s="647"/>
      <c r="D8" s="647" t="s">
        <v>948</v>
      </c>
      <c r="E8" s="647"/>
      <c r="F8" s="647" t="s">
        <v>949</v>
      </c>
      <c r="G8" s="647"/>
      <c r="H8" s="647" t="s">
        <v>950</v>
      </c>
      <c r="I8" s="647"/>
      <c r="J8" s="256"/>
    </row>
    <row r="9" spans="1:10" x14ac:dyDescent="0.2">
      <c r="A9" s="256"/>
      <c r="B9" s="617" t="s">
        <v>951</v>
      </c>
      <c r="C9" s="618"/>
      <c r="D9" s="618"/>
      <c r="E9" s="618"/>
      <c r="F9" s="618"/>
      <c r="G9" s="618"/>
      <c r="H9" s="618"/>
      <c r="I9" s="619"/>
      <c r="J9" s="256"/>
    </row>
    <row r="10" spans="1:10" x14ac:dyDescent="0.2">
      <c r="A10" s="256"/>
      <c r="B10" s="648"/>
      <c r="C10" s="648"/>
      <c r="D10" s="648"/>
      <c r="E10" s="648"/>
      <c r="F10" s="648"/>
      <c r="G10" s="648"/>
      <c r="H10" s="650">
        <f>+D10-F10</f>
        <v>0</v>
      </c>
      <c r="I10" s="651"/>
      <c r="J10" s="256"/>
    </row>
    <row r="11" spans="1:10" x14ac:dyDescent="0.2">
      <c r="A11" s="256"/>
      <c r="B11" s="648"/>
      <c r="C11" s="648"/>
      <c r="D11" s="649"/>
      <c r="E11" s="649"/>
      <c r="F11" s="649"/>
      <c r="G11" s="649"/>
      <c r="H11" s="650">
        <f t="shared" ref="H11:H19" si="0">+D11-F11</f>
        <v>0</v>
      </c>
      <c r="I11" s="651"/>
      <c r="J11" s="256"/>
    </row>
    <row r="12" spans="1:10" x14ac:dyDescent="0.2">
      <c r="A12" s="256"/>
      <c r="B12" s="648"/>
      <c r="C12" s="648"/>
      <c r="D12" s="649"/>
      <c r="E12" s="649"/>
      <c r="F12" s="649"/>
      <c r="G12" s="649"/>
      <c r="H12" s="650">
        <f t="shared" si="0"/>
        <v>0</v>
      </c>
      <c r="I12" s="651"/>
      <c r="J12" s="256"/>
    </row>
    <row r="13" spans="1:10" x14ac:dyDescent="0.2">
      <c r="A13" s="256"/>
      <c r="B13" s="648"/>
      <c r="C13" s="648"/>
      <c r="D13" s="649"/>
      <c r="E13" s="649"/>
      <c r="F13" s="649"/>
      <c r="G13" s="649"/>
      <c r="H13" s="650">
        <f t="shared" si="0"/>
        <v>0</v>
      </c>
      <c r="I13" s="651"/>
      <c r="J13" s="256"/>
    </row>
    <row r="14" spans="1:10" x14ac:dyDescent="0.2">
      <c r="A14" s="256"/>
      <c r="B14" s="648"/>
      <c r="C14" s="648"/>
      <c r="D14" s="649"/>
      <c r="E14" s="649"/>
      <c r="F14" s="649"/>
      <c r="G14" s="649"/>
      <c r="H14" s="650">
        <f t="shared" si="0"/>
        <v>0</v>
      </c>
      <c r="I14" s="651"/>
      <c r="J14" s="256"/>
    </row>
    <row r="15" spans="1:10" x14ac:dyDescent="0.2">
      <c r="A15" s="256"/>
      <c r="B15" s="648"/>
      <c r="C15" s="648"/>
      <c r="D15" s="649"/>
      <c r="E15" s="649"/>
      <c r="F15" s="649"/>
      <c r="G15" s="649"/>
      <c r="H15" s="650">
        <f t="shared" si="0"/>
        <v>0</v>
      </c>
      <c r="I15" s="651"/>
      <c r="J15" s="256"/>
    </row>
    <row r="16" spans="1:10" x14ac:dyDescent="0.2">
      <c r="A16" s="256"/>
      <c r="B16" s="648"/>
      <c r="C16" s="648"/>
      <c r="D16" s="649"/>
      <c r="E16" s="649"/>
      <c r="F16" s="649"/>
      <c r="G16" s="649"/>
      <c r="H16" s="650">
        <f t="shared" si="0"/>
        <v>0</v>
      </c>
      <c r="I16" s="651"/>
      <c r="J16" s="256"/>
    </row>
    <row r="17" spans="1:10" x14ac:dyDescent="0.2">
      <c r="A17" s="256"/>
      <c r="B17" s="648"/>
      <c r="C17" s="648"/>
      <c r="D17" s="649"/>
      <c r="E17" s="649"/>
      <c r="F17" s="649"/>
      <c r="G17" s="649"/>
      <c r="H17" s="650">
        <f t="shared" si="0"/>
        <v>0</v>
      </c>
      <c r="I17" s="651"/>
      <c r="J17" s="256"/>
    </row>
    <row r="18" spans="1:10" x14ac:dyDescent="0.2">
      <c r="A18" s="256"/>
      <c r="B18" s="648"/>
      <c r="C18" s="648"/>
      <c r="D18" s="649"/>
      <c r="E18" s="649"/>
      <c r="F18" s="649"/>
      <c r="G18" s="649"/>
      <c r="H18" s="650">
        <f t="shared" si="0"/>
        <v>0</v>
      </c>
      <c r="I18" s="651"/>
      <c r="J18" s="256"/>
    </row>
    <row r="19" spans="1:10" x14ac:dyDescent="0.2">
      <c r="A19" s="256"/>
      <c r="B19" s="648" t="s">
        <v>952</v>
      </c>
      <c r="C19" s="648"/>
      <c r="D19" s="649">
        <f>SUM(D10:E18)</f>
        <v>0</v>
      </c>
      <c r="E19" s="649"/>
      <c r="F19" s="649">
        <f>SUM(F10:G18)</f>
        <v>0</v>
      </c>
      <c r="G19" s="649"/>
      <c r="H19" s="650">
        <f t="shared" si="0"/>
        <v>0</v>
      </c>
      <c r="I19" s="651"/>
      <c r="J19" s="256"/>
    </row>
    <row r="20" spans="1:10" x14ac:dyDescent="0.2">
      <c r="A20" s="256"/>
      <c r="B20" s="648"/>
      <c r="C20" s="648"/>
      <c r="D20" s="648"/>
      <c r="E20" s="648"/>
      <c r="F20" s="648"/>
      <c r="G20" s="648"/>
      <c r="H20" s="648"/>
      <c r="I20" s="648"/>
      <c r="J20" s="256"/>
    </row>
    <row r="21" spans="1:10" x14ac:dyDescent="0.2">
      <c r="A21" s="256"/>
      <c r="B21" s="617" t="s">
        <v>953</v>
      </c>
      <c r="C21" s="618"/>
      <c r="D21" s="618"/>
      <c r="E21" s="618"/>
      <c r="F21" s="618"/>
      <c r="G21" s="618"/>
      <c r="H21" s="618"/>
      <c r="I21" s="619"/>
      <c r="J21" s="256"/>
    </row>
    <row r="22" spans="1:10" x14ac:dyDescent="0.2">
      <c r="A22" s="256"/>
      <c r="B22" s="648"/>
      <c r="C22" s="648"/>
      <c r="D22" s="648"/>
      <c r="E22" s="648"/>
      <c r="F22" s="648"/>
      <c r="G22" s="648"/>
      <c r="H22" s="648"/>
      <c r="I22" s="648"/>
      <c r="J22" s="256"/>
    </row>
    <row r="23" spans="1:10" x14ac:dyDescent="0.2">
      <c r="A23" s="256"/>
      <c r="B23" s="648"/>
      <c r="C23" s="648"/>
      <c r="D23" s="649"/>
      <c r="E23" s="649"/>
      <c r="F23" s="649"/>
      <c r="G23" s="649"/>
      <c r="H23" s="650">
        <f>+D23-F23</f>
        <v>0</v>
      </c>
      <c r="I23" s="651"/>
      <c r="J23" s="256"/>
    </row>
    <row r="24" spans="1:10" x14ac:dyDescent="0.2">
      <c r="A24" s="256"/>
      <c r="B24" s="648"/>
      <c r="C24" s="648"/>
      <c r="D24" s="649"/>
      <c r="E24" s="649"/>
      <c r="F24" s="649"/>
      <c r="G24" s="649"/>
      <c r="H24" s="650">
        <f>+D24-F24</f>
        <v>0</v>
      </c>
      <c r="I24" s="651"/>
      <c r="J24" s="256"/>
    </row>
    <row r="25" spans="1:10" x14ac:dyDescent="0.2">
      <c r="A25" s="256"/>
      <c r="B25" s="648"/>
      <c r="C25" s="648"/>
      <c r="D25" s="649"/>
      <c r="E25" s="649"/>
      <c r="F25" s="649"/>
      <c r="G25" s="649"/>
      <c r="H25" s="650">
        <f t="shared" ref="H25:H30" si="1">+D25-F25</f>
        <v>0</v>
      </c>
      <c r="I25" s="651"/>
      <c r="J25" s="256"/>
    </row>
    <row r="26" spans="1:10" x14ac:dyDescent="0.2">
      <c r="A26" s="256"/>
      <c r="B26" s="648"/>
      <c r="C26" s="648"/>
      <c r="D26" s="649"/>
      <c r="E26" s="649"/>
      <c r="F26" s="649"/>
      <c r="G26" s="649"/>
      <c r="H26" s="650">
        <f t="shared" si="1"/>
        <v>0</v>
      </c>
      <c r="I26" s="651"/>
      <c r="J26" s="256"/>
    </row>
    <row r="27" spans="1:10" x14ac:dyDescent="0.2">
      <c r="A27" s="256"/>
      <c r="B27" s="648"/>
      <c r="C27" s="648"/>
      <c r="D27" s="649"/>
      <c r="E27" s="649"/>
      <c r="F27" s="649"/>
      <c r="G27" s="649"/>
      <c r="H27" s="650">
        <f t="shared" si="1"/>
        <v>0</v>
      </c>
      <c r="I27" s="651"/>
      <c r="J27" s="256"/>
    </row>
    <row r="28" spans="1:10" x14ac:dyDescent="0.2">
      <c r="A28" s="256"/>
      <c r="B28" s="648"/>
      <c r="C28" s="648"/>
      <c r="D28" s="649"/>
      <c r="E28" s="649"/>
      <c r="F28" s="649"/>
      <c r="G28" s="649"/>
      <c r="H28" s="650">
        <f t="shared" si="1"/>
        <v>0</v>
      </c>
      <c r="I28" s="651"/>
      <c r="J28" s="256"/>
    </row>
    <row r="29" spans="1:10" x14ac:dyDescent="0.2">
      <c r="A29" s="256"/>
      <c r="B29" s="648"/>
      <c r="C29" s="648"/>
      <c r="D29" s="649"/>
      <c r="E29" s="649"/>
      <c r="F29" s="649"/>
      <c r="G29" s="649"/>
      <c r="H29" s="650">
        <f t="shared" si="1"/>
        <v>0</v>
      </c>
      <c r="I29" s="651"/>
      <c r="J29" s="256"/>
    </row>
    <row r="30" spans="1:10" x14ac:dyDescent="0.2">
      <c r="A30" s="256"/>
      <c r="B30" s="648"/>
      <c r="C30" s="648"/>
      <c r="D30" s="649"/>
      <c r="E30" s="649"/>
      <c r="F30" s="649"/>
      <c r="G30" s="649"/>
      <c r="H30" s="650">
        <f t="shared" si="1"/>
        <v>0</v>
      </c>
      <c r="I30" s="651"/>
      <c r="J30" s="256"/>
    </row>
    <row r="31" spans="1:10" x14ac:dyDescent="0.2">
      <c r="A31" s="256"/>
      <c r="B31" s="648" t="s">
        <v>954</v>
      </c>
      <c r="C31" s="648"/>
      <c r="D31" s="649">
        <f>SUM(D22:E30)</f>
        <v>0</v>
      </c>
      <c r="E31" s="649"/>
      <c r="F31" s="649">
        <f>SUM(F22:G30)</f>
        <v>0</v>
      </c>
      <c r="G31" s="649"/>
      <c r="H31" s="649">
        <f>+D31-F31</f>
        <v>0</v>
      </c>
      <c r="I31" s="649"/>
      <c r="J31" s="256"/>
    </row>
    <row r="32" spans="1:10" x14ac:dyDescent="0.2">
      <c r="A32" s="256"/>
      <c r="B32" s="648"/>
      <c r="C32" s="648"/>
      <c r="D32" s="649"/>
      <c r="E32" s="649"/>
      <c r="F32" s="649"/>
      <c r="G32" s="649"/>
      <c r="H32" s="649"/>
      <c r="I32" s="649"/>
      <c r="J32" s="256"/>
    </row>
    <row r="33" spans="1:10" x14ac:dyDescent="0.2">
      <c r="A33" s="256"/>
      <c r="B33" s="652" t="s">
        <v>4</v>
      </c>
      <c r="C33" s="653"/>
      <c r="D33" s="650">
        <f>+D19+D31</f>
        <v>0</v>
      </c>
      <c r="E33" s="651"/>
      <c r="F33" s="650">
        <f>+F19+F31</f>
        <v>0</v>
      </c>
      <c r="G33" s="651"/>
      <c r="H33" s="650">
        <f>+H19+H31</f>
        <v>0</v>
      </c>
      <c r="I33" s="651"/>
      <c r="J33" s="256"/>
    </row>
    <row r="34" spans="1:10" x14ac:dyDescent="0.2">
      <c r="A34" s="256"/>
      <c r="B34" s="256"/>
      <c r="C34" s="256"/>
      <c r="D34" s="256"/>
      <c r="E34" s="256"/>
      <c r="F34" s="256"/>
      <c r="G34" s="256"/>
      <c r="H34" s="256"/>
      <c r="I34" s="256"/>
      <c r="J34" s="256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2" sqref="A2:C2"/>
    </sheetView>
  </sheetViews>
  <sheetFormatPr baseColWidth="10" defaultRowHeight="11.25" x14ac:dyDescent="0.2"/>
  <cols>
    <col min="1" max="1" width="43.7109375" style="203" customWidth="1"/>
    <col min="2" max="2" width="28.85546875" style="203" customWidth="1"/>
    <col min="3" max="3" width="24.42578125" style="203" customWidth="1"/>
    <col min="4" max="16384" width="11.42578125" style="203"/>
  </cols>
  <sheetData>
    <row r="1" spans="1:3" x14ac:dyDescent="0.2">
      <c r="A1" s="614" t="str">
        <f>BALANZA!Q9</f>
        <v>Cuenta Pública 2016</v>
      </c>
      <c r="B1" s="615"/>
      <c r="C1" s="616"/>
    </row>
    <row r="2" spans="1:3" x14ac:dyDescent="0.2">
      <c r="A2" s="617" t="s">
        <v>884</v>
      </c>
      <c r="B2" s="618"/>
      <c r="C2" s="619"/>
    </row>
    <row r="3" spans="1:3" x14ac:dyDescent="0.2">
      <c r="A3" s="617" t="s">
        <v>955</v>
      </c>
      <c r="B3" s="618"/>
      <c r="C3" s="619"/>
    </row>
    <row r="4" spans="1:3" x14ac:dyDescent="0.2">
      <c r="A4" s="620" t="str">
        <f>BALANZA!Q8</f>
        <v>Del 1 de enero al 31 de marzo de 2016</v>
      </c>
      <c r="B4" s="621"/>
      <c r="C4" s="622"/>
    </row>
    <row r="5" spans="1:3" x14ac:dyDescent="0.2">
      <c r="A5" s="172"/>
      <c r="B5" s="172"/>
    </row>
    <row r="6" spans="1:3" x14ac:dyDescent="0.2">
      <c r="A6" s="257" t="s">
        <v>944</v>
      </c>
      <c r="B6" s="257" t="s">
        <v>853</v>
      </c>
      <c r="C6" s="257" t="s">
        <v>880</v>
      </c>
    </row>
    <row r="7" spans="1:3" x14ac:dyDescent="0.2">
      <c r="A7" s="654" t="s">
        <v>951</v>
      </c>
      <c r="B7" s="655"/>
      <c r="C7" s="656"/>
    </row>
    <row r="8" spans="1:3" x14ac:dyDescent="0.2">
      <c r="A8" s="258"/>
      <c r="B8" s="258"/>
      <c r="C8" s="259"/>
    </row>
    <row r="9" spans="1:3" x14ac:dyDescent="0.2">
      <c r="A9" s="258"/>
      <c r="B9" s="258"/>
      <c r="C9" s="259"/>
    </row>
    <row r="10" spans="1:3" x14ac:dyDescent="0.2">
      <c r="A10" s="258"/>
      <c r="B10" s="258"/>
      <c r="C10" s="259"/>
    </row>
    <row r="11" spans="1:3" x14ac:dyDescent="0.2">
      <c r="A11" s="258"/>
      <c r="B11" s="258"/>
      <c r="C11" s="259"/>
    </row>
    <row r="12" spans="1:3" x14ac:dyDescent="0.2">
      <c r="A12" s="258"/>
      <c r="B12" s="258"/>
      <c r="C12" s="259"/>
    </row>
    <row r="13" spans="1:3" x14ac:dyDescent="0.2">
      <c r="A13" s="258"/>
      <c r="B13" s="258"/>
      <c r="C13" s="259"/>
    </row>
    <row r="14" spans="1:3" x14ac:dyDescent="0.2">
      <c r="A14" s="258"/>
      <c r="B14" s="258"/>
      <c r="C14" s="259"/>
    </row>
    <row r="15" spans="1:3" x14ac:dyDescent="0.2">
      <c r="A15" s="258"/>
      <c r="B15" s="258"/>
      <c r="C15" s="259"/>
    </row>
    <row r="16" spans="1:3" x14ac:dyDescent="0.2">
      <c r="A16" s="258"/>
      <c r="B16" s="258"/>
      <c r="C16" s="259"/>
    </row>
    <row r="17" spans="1:3" x14ac:dyDescent="0.2">
      <c r="A17" s="258"/>
      <c r="B17" s="258"/>
      <c r="C17" s="259"/>
    </row>
    <row r="18" spans="1:3" x14ac:dyDescent="0.2">
      <c r="A18" s="260" t="s">
        <v>956</v>
      </c>
      <c r="B18" s="258">
        <f>SUM(B8:B17)</f>
        <v>0</v>
      </c>
      <c r="C18" s="258">
        <f>SUM(C8:C17)</f>
        <v>0</v>
      </c>
    </row>
    <row r="19" spans="1:3" x14ac:dyDescent="0.2">
      <c r="A19" s="258"/>
      <c r="B19" s="258"/>
      <c r="C19" s="259"/>
    </row>
    <row r="20" spans="1:3" x14ac:dyDescent="0.2">
      <c r="A20" s="654" t="s">
        <v>953</v>
      </c>
      <c r="B20" s="655"/>
      <c r="C20" s="656"/>
    </row>
    <row r="21" spans="1:3" x14ac:dyDescent="0.2">
      <c r="A21" s="258"/>
      <c r="B21" s="258"/>
      <c r="C21" s="259"/>
    </row>
    <row r="22" spans="1:3" x14ac:dyDescent="0.2">
      <c r="A22" s="258"/>
      <c r="B22" s="258"/>
      <c r="C22" s="259"/>
    </row>
    <row r="23" spans="1:3" x14ac:dyDescent="0.2">
      <c r="A23" s="258"/>
      <c r="B23" s="258"/>
      <c r="C23" s="259"/>
    </row>
    <row r="24" spans="1:3" x14ac:dyDescent="0.2">
      <c r="A24" s="258"/>
      <c r="B24" s="258"/>
      <c r="C24" s="259"/>
    </row>
    <row r="25" spans="1:3" x14ac:dyDescent="0.2">
      <c r="A25" s="258"/>
      <c r="B25" s="258"/>
      <c r="C25" s="259"/>
    </row>
    <row r="26" spans="1:3" x14ac:dyDescent="0.2">
      <c r="A26" s="258"/>
      <c r="B26" s="258"/>
      <c r="C26" s="259"/>
    </row>
    <row r="27" spans="1:3" x14ac:dyDescent="0.2">
      <c r="A27" s="258"/>
      <c r="B27" s="258"/>
      <c r="C27" s="259"/>
    </row>
    <row r="28" spans="1:3" x14ac:dyDescent="0.2">
      <c r="A28" s="258"/>
      <c r="B28" s="258"/>
      <c r="C28" s="259"/>
    </row>
    <row r="29" spans="1:3" x14ac:dyDescent="0.2">
      <c r="A29" s="258"/>
      <c r="B29" s="258"/>
      <c r="C29" s="259"/>
    </row>
    <row r="30" spans="1:3" x14ac:dyDescent="0.2">
      <c r="A30" s="258"/>
      <c r="B30" s="258"/>
      <c r="C30" s="259"/>
    </row>
    <row r="31" spans="1:3" x14ac:dyDescent="0.2">
      <c r="A31" s="258"/>
      <c r="B31" s="258"/>
      <c r="C31" s="259"/>
    </row>
    <row r="32" spans="1:3" x14ac:dyDescent="0.2">
      <c r="A32" s="258"/>
      <c r="B32" s="258"/>
      <c r="C32" s="259"/>
    </row>
    <row r="33" spans="1:3" x14ac:dyDescent="0.2">
      <c r="A33" s="260" t="s">
        <v>957</v>
      </c>
      <c r="B33" s="258">
        <f>SUM(B21:B32)</f>
        <v>0</v>
      </c>
      <c r="C33" s="258">
        <f>SUM(C21:C32)</f>
        <v>0</v>
      </c>
    </row>
    <row r="34" spans="1:3" x14ac:dyDescent="0.2">
      <c r="A34" s="258"/>
      <c r="B34" s="258"/>
      <c r="C34" s="259"/>
    </row>
    <row r="35" spans="1:3" x14ac:dyDescent="0.2">
      <c r="A35" s="260" t="s">
        <v>4</v>
      </c>
      <c r="B35" s="261">
        <f>+B18+B33</f>
        <v>0</v>
      </c>
      <c r="C35" s="261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opLeftCell="A10" workbookViewId="0">
      <selection activeCell="H14" sqref="H14"/>
    </sheetView>
  </sheetViews>
  <sheetFormatPr baseColWidth="10" defaultRowHeight="15" x14ac:dyDescent="0.25"/>
  <cols>
    <col min="1" max="1" width="2.140625" style="212" customWidth="1"/>
    <col min="2" max="3" width="3.7109375" style="203" customWidth="1"/>
    <col min="4" max="4" width="65.7109375" style="203" customWidth="1"/>
    <col min="5" max="5" width="12.7109375" style="203" customWidth="1"/>
    <col min="6" max="6" width="14.28515625" style="203" customWidth="1"/>
    <col min="7" max="8" width="12.7109375" style="203" customWidth="1"/>
    <col min="9" max="9" width="11.42578125" style="203" customWidth="1"/>
    <col min="10" max="10" width="12.85546875" style="203" customWidth="1"/>
    <col min="11" max="11" width="3.140625" style="212" customWidth="1"/>
  </cols>
  <sheetData>
    <row r="1" spans="2:10" s="212" customFormat="1" ht="6.75" customHeight="1" x14ac:dyDescent="0.25">
      <c r="B1" s="172"/>
      <c r="C1" s="172"/>
      <c r="D1" s="172"/>
      <c r="E1" s="172"/>
      <c r="F1" s="172"/>
      <c r="G1" s="172"/>
      <c r="H1" s="172"/>
      <c r="I1" s="172"/>
    </row>
    <row r="2" spans="2:10" x14ac:dyDescent="0.25">
      <c r="B2" s="614" t="str">
        <f>BALANZA!Q9</f>
        <v>Cuenta Pública 2016</v>
      </c>
      <c r="C2" s="615"/>
      <c r="D2" s="615"/>
      <c r="E2" s="615"/>
      <c r="F2" s="615"/>
      <c r="G2" s="615"/>
      <c r="H2" s="615"/>
      <c r="I2" s="615"/>
      <c r="J2" s="616"/>
    </row>
    <row r="3" spans="2:10" x14ac:dyDescent="0.25">
      <c r="B3" s="617" t="str">
        <f>BALANZA!Q6</f>
        <v>EL COLEGIO DE TLAXCALA, A.C.</v>
      </c>
      <c r="C3" s="618"/>
      <c r="D3" s="618"/>
      <c r="E3" s="618"/>
      <c r="F3" s="618"/>
      <c r="G3" s="618"/>
      <c r="H3" s="618"/>
      <c r="I3" s="618"/>
      <c r="J3" s="619"/>
    </row>
    <row r="4" spans="2:10" x14ac:dyDescent="0.25">
      <c r="B4" s="617" t="s">
        <v>958</v>
      </c>
      <c r="C4" s="618"/>
      <c r="D4" s="618"/>
      <c r="E4" s="618"/>
      <c r="F4" s="618"/>
      <c r="G4" s="618"/>
      <c r="H4" s="618"/>
      <c r="I4" s="618"/>
      <c r="J4" s="619"/>
    </row>
    <row r="5" spans="2:10" x14ac:dyDescent="0.25">
      <c r="B5" s="620" t="str">
        <f>BALANZA!Q8</f>
        <v>Del 1 de enero al 31 de marzo de 2016</v>
      </c>
      <c r="C5" s="621"/>
      <c r="D5" s="621"/>
      <c r="E5" s="621"/>
      <c r="F5" s="621"/>
      <c r="G5" s="621"/>
      <c r="H5" s="621"/>
      <c r="I5" s="621"/>
      <c r="J5" s="622"/>
    </row>
    <row r="6" spans="2:10" s="212" customFormat="1" ht="2.25" customHeight="1" x14ac:dyDescent="0.25">
      <c r="B6" s="262"/>
      <c r="C6" s="262"/>
      <c r="D6" s="262"/>
      <c r="E6" s="262"/>
      <c r="F6" s="262"/>
      <c r="G6" s="262"/>
      <c r="H6" s="262"/>
      <c r="I6" s="262"/>
      <c r="J6" s="262"/>
    </row>
    <row r="7" spans="2:10" x14ac:dyDescent="0.25">
      <c r="B7" s="637" t="s">
        <v>40</v>
      </c>
      <c r="C7" s="659"/>
      <c r="D7" s="638"/>
      <c r="E7" s="636" t="s">
        <v>886</v>
      </c>
      <c r="F7" s="636"/>
      <c r="G7" s="636"/>
      <c r="H7" s="636"/>
      <c r="I7" s="636"/>
      <c r="J7" s="636" t="s">
        <v>877</v>
      </c>
    </row>
    <row r="8" spans="2:10" ht="22.5" x14ac:dyDescent="0.25">
      <c r="B8" s="639"/>
      <c r="C8" s="660"/>
      <c r="D8" s="640"/>
      <c r="E8" s="213" t="s">
        <v>878</v>
      </c>
      <c r="F8" s="213" t="s">
        <v>879</v>
      </c>
      <c r="G8" s="213" t="s">
        <v>852</v>
      </c>
      <c r="H8" s="213" t="s">
        <v>853</v>
      </c>
      <c r="I8" s="213" t="s">
        <v>880</v>
      </c>
      <c r="J8" s="636"/>
    </row>
    <row r="9" spans="2:10" ht="15.75" customHeight="1" x14ac:dyDescent="0.25">
      <c r="B9" s="641"/>
      <c r="C9" s="661"/>
      <c r="D9" s="642"/>
      <c r="E9" s="213">
        <v>1</v>
      </c>
      <c r="F9" s="213">
        <v>2</v>
      </c>
      <c r="G9" s="213" t="s">
        <v>881</v>
      </c>
      <c r="H9" s="213">
        <v>4</v>
      </c>
      <c r="I9" s="213">
        <v>5</v>
      </c>
      <c r="J9" s="213" t="s">
        <v>882</v>
      </c>
    </row>
    <row r="10" spans="2:10" ht="15" customHeight="1" x14ac:dyDescent="0.25">
      <c r="B10" s="662" t="s">
        <v>959</v>
      </c>
      <c r="C10" s="663"/>
      <c r="D10" s="664"/>
      <c r="E10" s="263"/>
      <c r="F10" s="231"/>
      <c r="G10" s="231"/>
      <c r="H10" s="231"/>
      <c r="I10" s="231"/>
      <c r="J10" s="231"/>
    </row>
    <row r="11" spans="2:10" x14ac:dyDescent="0.25">
      <c r="B11" s="214"/>
      <c r="C11" s="657" t="s">
        <v>960</v>
      </c>
      <c r="D11" s="658"/>
      <c r="E11" s="555">
        <f>+E12+E13</f>
        <v>19818362</v>
      </c>
      <c r="F11" s="555">
        <f>+F12+F13</f>
        <v>0</v>
      </c>
      <c r="G11" s="552">
        <f>+E11+F11</f>
        <v>19818362</v>
      </c>
      <c r="H11" s="555">
        <f t="shared" ref="H11:I11" si="0">+H12+H13</f>
        <v>5425890</v>
      </c>
      <c r="I11" s="555">
        <f t="shared" si="0"/>
        <v>5431090</v>
      </c>
      <c r="J11" s="552">
        <f>+G11-I11</f>
        <v>14387272</v>
      </c>
    </row>
    <row r="12" spans="2:10" x14ac:dyDescent="0.25">
      <c r="B12" s="214"/>
      <c r="C12" s="265"/>
      <c r="D12" s="215" t="s">
        <v>961</v>
      </c>
      <c r="E12" s="263"/>
      <c r="F12" s="231"/>
      <c r="G12" s="231">
        <f t="shared" ref="G12:G39" si="1">+E12+F12</f>
        <v>0</v>
      </c>
      <c r="H12" s="231"/>
      <c r="I12" s="231"/>
      <c r="J12" s="231">
        <f t="shared" ref="J12:J39" si="2">+G12-H12</f>
        <v>0</v>
      </c>
    </row>
    <row r="13" spans="2:10" x14ac:dyDescent="0.25">
      <c r="B13" s="214"/>
      <c r="C13" s="265"/>
      <c r="D13" s="215" t="s">
        <v>962</v>
      </c>
      <c r="E13" s="556">
        <v>19818362</v>
      </c>
      <c r="F13" s="550">
        <v>0</v>
      </c>
      <c r="G13" s="550">
        <f t="shared" si="1"/>
        <v>19818362</v>
      </c>
      <c r="H13" s="550">
        <v>5425890</v>
      </c>
      <c r="I13" s="550">
        <f>BALANZA!J492</f>
        <v>5431090</v>
      </c>
      <c r="J13" s="550">
        <f>+G13-I13</f>
        <v>14387272</v>
      </c>
    </row>
    <row r="14" spans="2:10" x14ac:dyDescent="0.25">
      <c r="B14" s="214"/>
      <c r="C14" s="657" t="s">
        <v>963</v>
      </c>
      <c r="D14" s="658"/>
      <c r="E14" s="264">
        <f>SUM(E15:E22)</f>
        <v>0</v>
      </c>
      <c r="F14" s="264">
        <f>SUM(F15:F22)</f>
        <v>0</v>
      </c>
      <c r="G14" s="237">
        <f t="shared" si="1"/>
        <v>0</v>
      </c>
      <c r="H14" s="264">
        <f t="shared" ref="H14:I14" si="3">SUM(H15:H22)</f>
        <v>0</v>
      </c>
      <c r="I14" s="264">
        <f t="shared" si="3"/>
        <v>0</v>
      </c>
      <c r="J14" s="237">
        <f t="shared" si="2"/>
        <v>0</v>
      </c>
    </row>
    <row r="15" spans="2:10" x14ac:dyDescent="0.25">
      <c r="B15" s="214"/>
      <c r="C15" s="265"/>
      <c r="D15" s="215" t="s">
        <v>964</v>
      </c>
      <c r="E15" s="263"/>
      <c r="F15" s="231"/>
      <c r="G15" s="231">
        <f t="shared" si="1"/>
        <v>0</v>
      </c>
      <c r="H15" s="231"/>
      <c r="I15" s="231"/>
      <c r="J15" s="231">
        <f t="shared" si="2"/>
        <v>0</v>
      </c>
    </row>
    <row r="16" spans="2:10" x14ac:dyDescent="0.25">
      <c r="B16" s="214"/>
      <c r="C16" s="265"/>
      <c r="D16" s="215" t="s">
        <v>965</v>
      </c>
      <c r="E16" s="263"/>
      <c r="F16" s="231"/>
      <c r="G16" s="231">
        <f t="shared" si="1"/>
        <v>0</v>
      </c>
      <c r="H16" s="231"/>
      <c r="I16" s="231"/>
      <c r="J16" s="231">
        <f t="shared" si="2"/>
        <v>0</v>
      </c>
    </row>
    <row r="17" spans="2:10" x14ac:dyDescent="0.25">
      <c r="B17" s="214"/>
      <c r="C17" s="265"/>
      <c r="D17" s="215" t="s">
        <v>966</v>
      </c>
      <c r="E17" s="263"/>
      <c r="F17" s="231"/>
      <c r="G17" s="231">
        <f t="shared" si="1"/>
        <v>0</v>
      </c>
      <c r="H17" s="231"/>
      <c r="I17" s="231"/>
      <c r="J17" s="231">
        <f t="shared" si="2"/>
        <v>0</v>
      </c>
    </row>
    <row r="18" spans="2:10" x14ac:dyDescent="0.25">
      <c r="B18" s="214"/>
      <c r="C18" s="265"/>
      <c r="D18" s="215" t="s">
        <v>967</v>
      </c>
      <c r="E18" s="263"/>
      <c r="F18" s="231"/>
      <c r="G18" s="231">
        <f t="shared" si="1"/>
        <v>0</v>
      </c>
      <c r="H18" s="231"/>
      <c r="I18" s="231"/>
      <c r="J18" s="231">
        <f t="shared" si="2"/>
        <v>0</v>
      </c>
    </row>
    <row r="19" spans="2:10" x14ac:dyDescent="0.25">
      <c r="B19" s="214"/>
      <c r="C19" s="265"/>
      <c r="D19" s="215" t="s">
        <v>968</v>
      </c>
      <c r="E19" s="263"/>
      <c r="F19" s="231"/>
      <c r="G19" s="231">
        <f t="shared" si="1"/>
        <v>0</v>
      </c>
      <c r="H19" s="231"/>
      <c r="I19" s="231"/>
      <c r="J19" s="231">
        <f t="shared" si="2"/>
        <v>0</v>
      </c>
    </row>
    <row r="20" spans="2:10" x14ac:dyDescent="0.25">
      <c r="B20" s="214"/>
      <c r="C20" s="265"/>
      <c r="D20" s="215" t="s">
        <v>969</v>
      </c>
      <c r="E20" s="263"/>
      <c r="F20" s="231"/>
      <c r="G20" s="231">
        <f t="shared" si="1"/>
        <v>0</v>
      </c>
      <c r="H20" s="231"/>
      <c r="I20" s="231"/>
      <c r="J20" s="231">
        <f t="shared" si="2"/>
        <v>0</v>
      </c>
    </row>
    <row r="21" spans="2:10" x14ac:dyDescent="0.25">
      <c r="B21" s="214"/>
      <c r="C21" s="265"/>
      <c r="D21" s="215" t="s">
        <v>970</v>
      </c>
      <c r="E21" s="263"/>
      <c r="F21" s="231"/>
      <c r="G21" s="231">
        <f t="shared" si="1"/>
        <v>0</v>
      </c>
      <c r="H21" s="231"/>
      <c r="I21" s="231"/>
      <c r="J21" s="231">
        <f t="shared" si="2"/>
        <v>0</v>
      </c>
    </row>
    <row r="22" spans="2:10" x14ac:dyDescent="0.25">
      <c r="B22" s="214"/>
      <c r="C22" s="265"/>
      <c r="D22" s="215" t="s">
        <v>971</v>
      </c>
      <c r="E22" s="263"/>
      <c r="F22" s="231"/>
      <c r="G22" s="231">
        <f t="shared" si="1"/>
        <v>0</v>
      </c>
      <c r="H22" s="231"/>
      <c r="I22" s="231"/>
      <c r="J22" s="231">
        <f t="shared" si="2"/>
        <v>0</v>
      </c>
    </row>
    <row r="23" spans="2:10" x14ac:dyDescent="0.25">
      <c r="B23" s="214"/>
      <c r="C23" s="657" t="s">
        <v>972</v>
      </c>
      <c r="D23" s="658"/>
      <c r="E23" s="264">
        <f>SUM(E24:E26)</f>
        <v>0</v>
      </c>
      <c r="F23" s="264">
        <f>SUM(F24:F26)</f>
        <v>0</v>
      </c>
      <c r="G23" s="237">
        <f t="shared" si="1"/>
        <v>0</v>
      </c>
      <c r="H23" s="264">
        <f t="shared" ref="H23:I23" si="4">SUM(H24:H26)</f>
        <v>0</v>
      </c>
      <c r="I23" s="264">
        <f t="shared" si="4"/>
        <v>0</v>
      </c>
      <c r="J23" s="237">
        <f t="shared" si="2"/>
        <v>0</v>
      </c>
    </row>
    <row r="24" spans="2:10" x14ac:dyDescent="0.25">
      <c r="B24" s="214"/>
      <c r="C24" s="265"/>
      <c r="D24" s="215" t="s">
        <v>973</v>
      </c>
      <c r="E24" s="263"/>
      <c r="F24" s="231"/>
      <c r="G24" s="231">
        <f t="shared" si="1"/>
        <v>0</v>
      </c>
      <c r="H24" s="231"/>
      <c r="I24" s="231"/>
      <c r="J24" s="231">
        <f t="shared" si="2"/>
        <v>0</v>
      </c>
    </row>
    <row r="25" spans="2:10" x14ac:dyDescent="0.25">
      <c r="B25" s="214"/>
      <c r="C25" s="265"/>
      <c r="D25" s="215" t="s">
        <v>974</v>
      </c>
      <c r="E25" s="263"/>
      <c r="F25" s="231"/>
      <c r="G25" s="231">
        <f t="shared" si="1"/>
        <v>0</v>
      </c>
      <c r="H25" s="231"/>
      <c r="I25" s="231"/>
      <c r="J25" s="231">
        <f t="shared" si="2"/>
        <v>0</v>
      </c>
    </row>
    <row r="26" spans="2:10" x14ac:dyDescent="0.25">
      <c r="B26" s="214"/>
      <c r="C26" s="265"/>
      <c r="D26" s="215" t="s">
        <v>975</v>
      </c>
      <c r="E26" s="263"/>
      <c r="F26" s="231"/>
      <c r="G26" s="231">
        <f t="shared" si="1"/>
        <v>0</v>
      </c>
      <c r="H26" s="231"/>
      <c r="I26" s="231"/>
      <c r="J26" s="231">
        <f t="shared" si="2"/>
        <v>0</v>
      </c>
    </row>
    <row r="27" spans="2:10" x14ac:dyDescent="0.25">
      <c r="B27" s="214"/>
      <c r="C27" s="657" t="s">
        <v>976</v>
      </c>
      <c r="D27" s="658"/>
      <c r="E27" s="264">
        <f>SUM(E28:E29)</f>
        <v>0</v>
      </c>
      <c r="F27" s="264">
        <f>SUM(F28:F29)</f>
        <v>0</v>
      </c>
      <c r="G27" s="237">
        <f t="shared" si="1"/>
        <v>0</v>
      </c>
      <c r="H27" s="264">
        <f t="shared" ref="H27:I27" si="5">SUM(H28:H29)</f>
        <v>0</v>
      </c>
      <c r="I27" s="264">
        <f t="shared" si="5"/>
        <v>0</v>
      </c>
      <c r="J27" s="237">
        <f t="shared" si="2"/>
        <v>0</v>
      </c>
    </row>
    <row r="28" spans="2:10" x14ac:dyDescent="0.25">
      <c r="B28" s="214"/>
      <c r="C28" s="265"/>
      <c r="D28" s="215" t="s">
        <v>977</v>
      </c>
      <c r="E28" s="263"/>
      <c r="F28" s="231"/>
      <c r="G28" s="231">
        <f t="shared" si="1"/>
        <v>0</v>
      </c>
      <c r="H28" s="231"/>
      <c r="I28" s="231"/>
      <c r="J28" s="231">
        <f t="shared" si="2"/>
        <v>0</v>
      </c>
    </row>
    <row r="29" spans="2:10" x14ac:dyDescent="0.25">
      <c r="B29" s="214"/>
      <c r="C29" s="265"/>
      <c r="D29" s="215" t="s">
        <v>978</v>
      </c>
      <c r="E29" s="263"/>
      <c r="F29" s="231"/>
      <c r="G29" s="231">
        <f t="shared" si="1"/>
        <v>0</v>
      </c>
      <c r="H29" s="231"/>
      <c r="I29" s="231"/>
      <c r="J29" s="231">
        <f t="shared" si="2"/>
        <v>0</v>
      </c>
    </row>
    <row r="30" spans="2:10" x14ac:dyDescent="0.25">
      <c r="B30" s="214"/>
      <c r="C30" s="657" t="s">
        <v>979</v>
      </c>
      <c r="D30" s="658"/>
      <c r="E30" s="264">
        <f>SUM(E31:E34)</f>
        <v>0</v>
      </c>
      <c r="F30" s="264">
        <f>SUM(F31:F34)</f>
        <v>0</v>
      </c>
      <c r="G30" s="237">
        <f t="shared" si="1"/>
        <v>0</v>
      </c>
      <c r="H30" s="264">
        <f t="shared" ref="H30:I30" si="6">SUM(H31:H34)</f>
        <v>0</v>
      </c>
      <c r="I30" s="264">
        <f t="shared" si="6"/>
        <v>0</v>
      </c>
      <c r="J30" s="237">
        <f t="shared" si="2"/>
        <v>0</v>
      </c>
    </row>
    <row r="31" spans="2:10" x14ac:dyDescent="0.25">
      <c r="B31" s="214"/>
      <c r="C31" s="265"/>
      <c r="D31" s="215" t="s">
        <v>980</v>
      </c>
      <c r="E31" s="263"/>
      <c r="F31" s="231"/>
      <c r="G31" s="231">
        <f t="shared" si="1"/>
        <v>0</v>
      </c>
      <c r="H31" s="231"/>
      <c r="I31" s="231"/>
      <c r="J31" s="231">
        <f t="shared" si="2"/>
        <v>0</v>
      </c>
    </row>
    <row r="32" spans="2:10" x14ac:dyDescent="0.25">
      <c r="B32" s="214"/>
      <c r="C32" s="265"/>
      <c r="D32" s="215" t="s">
        <v>981</v>
      </c>
      <c r="E32" s="263"/>
      <c r="F32" s="231"/>
      <c r="G32" s="231">
        <f t="shared" si="1"/>
        <v>0</v>
      </c>
      <c r="H32" s="231"/>
      <c r="I32" s="231"/>
      <c r="J32" s="231">
        <f t="shared" si="2"/>
        <v>0</v>
      </c>
    </row>
    <row r="33" spans="1:11" x14ac:dyDescent="0.25">
      <c r="B33" s="214"/>
      <c r="C33" s="265"/>
      <c r="D33" s="215" t="s">
        <v>982</v>
      </c>
      <c r="E33" s="263"/>
      <c r="F33" s="231"/>
      <c r="G33" s="231">
        <f t="shared" si="1"/>
        <v>0</v>
      </c>
      <c r="H33" s="231"/>
      <c r="I33" s="231"/>
      <c r="J33" s="231">
        <f t="shared" si="2"/>
        <v>0</v>
      </c>
    </row>
    <row r="34" spans="1:11" x14ac:dyDescent="0.25">
      <c r="B34" s="214"/>
      <c r="C34" s="265"/>
      <c r="D34" s="215" t="s">
        <v>983</v>
      </c>
      <c r="E34" s="263"/>
      <c r="F34" s="231"/>
      <c r="G34" s="231">
        <f t="shared" si="1"/>
        <v>0</v>
      </c>
      <c r="H34" s="231"/>
      <c r="I34" s="231"/>
      <c r="J34" s="231">
        <f t="shared" si="2"/>
        <v>0</v>
      </c>
    </row>
    <row r="35" spans="1:11" x14ac:dyDescent="0.25">
      <c r="B35" s="214"/>
      <c r="C35" s="657" t="s">
        <v>984</v>
      </c>
      <c r="D35" s="658"/>
      <c r="E35" s="264">
        <f>SUM(E36)</f>
        <v>0</v>
      </c>
      <c r="F35" s="264">
        <f>SUM(F36)</f>
        <v>0</v>
      </c>
      <c r="G35" s="237">
        <f t="shared" si="1"/>
        <v>0</v>
      </c>
      <c r="H35" s="264">
        <f t="shared" ref="H35:I35" si="7">SUM(H36)</f>
        <v>0</v>
      </c>
      <c r="I35" s="264">
        <f t="shared" si="7"/>
        <v>0</v>
      </c>
      <c r="J35" s="237">
        <f t="shared" si="2"/>
        <v>0</v>
      </c>
    </row>
    <row r="36" spans="1:11" x14ac:dyDescent="0.25">
      <c r="B36" s="214"/>
      <c r="C36" s="265"/>
      <c r="D36" s="215" t="s">
        <v>985</v>
      </c>
      <c r="E36" s="263"/>
      <c r="F36" s="231"/>
      <c r="G36" s="231">
        <f t="shared" si="1"/>
        <v>0</v>
      </c>
      <c r="H36" s="231"/>
      <c r="I36" s="231"/>
      <c r="J36" s="231">
        <f t="shared" si="2"/>
        <v>0</v>
      </c>
    </row>
    <row r="37" spans="1:11" ht="15" customHeight="1" x14ac:dyDescent="0.25">
      <c r="B37" s="662" t="s">
        <v>986</v>
      </c>
      <c r="C37" s="663"/>
      <c r="D37" s="664"/>
      <c r="E37" s="263"/>
      <c r="F37" s="231"/>
      <c r="G37" s="231">
        <f t="shared" si="1"/>
        <v>0</v>
      </c>
      <c r="H37" s="231"/>
      <c r="I37" s="231"/>
      <c r="J37" s="231">
        <f t="shared" si="2"/>
        <v>0</v>
      </c>
    </row>
    <row r="38" spans="1:11" ht="15" customHeight="1" x14ac:dyDescent="0.25">
      <c r="B38" s="662" t="s">
        <v>987</v>
      </c>
      <c r="C38" s="663"/>
      <c r="D38" s="664"/>
      <c r="E38" s="263"/>
      <c r="F38" s="231"/>
      <c r="G38" s="231">
        <f t="shared" si="1"/>
        <v>0</v>
      </c>
      <c r="H38" s="231"/>
      <c r="I38" s="231"/>
      <c r="J38" s="231">
        <f t="shared" si="2"/>
        <v>0</v>
      </c>
    </row>
    <row r="39" spans="1:11" ht="15.75" customHeight="1" x14ac:dyDescent="0.25">
      <c r="B39" s="662" t="s">
        <v>988</v>
      </c>
      <c r="C39" s="663"/>
      <c r="D39" s="664"/>
      <c r="E39" s="263"/>
      <c r="F39" s="231"/>
      <c r="G39" s="231">
        <f t="shared" si="1"/>
        <v>0</v>
      </c>
      <c r="H39" s="231"/>
      <c r="I39" s="231"/>
      <c r="J39" s="231">
        <f t="shared" si="2"/>
        <v>0</v>
      </c>
    </row>
    <row r="40" spans="1:11" x14ac:dyDescent="0.25">
      <c r="B40" s="266"/>
      <c r="C40" s="267"/>
      <c r="D40" s="268"/>
      <c r="E40" s="269"/>
      <c r="F40" s="270"/>
      <c r="G40" s="270"/>
      <c r="H40" s="270"/>
      <c r="I40" s="270"/>
      <c r="J40" s="270"/>
    </row>
    <row r="41" spans="1:11" s="226" customFormat="1" x14ac:dyDescent="0.25">
      <c r="A41" s="223"/>
      <c r="B41" s="240"/>
      <c r="C41" s="665" t="s">
        <v>883</v>
      </c>
      <c r="D41" s="666"/>
      <c r="E41" s="551">
        <f>+E11+E14+E23+E27+E30+E35+E37+E38+E39</f>
        <v>19818362</v>
      </c>
      <c r="F41" s="551">
        <f t="shared" ref="F41:J41" si="8">+F11+F14+F23+F27+F30+F35+F37+F38+F39</f>
        <v>0</v>
      </c>
      <c r="G41" s="551">
        <f t="shared" si="8"/>
        <v>19818362</v>
      </c>
      <c r="H41" s="551">
        <f t="shared" si="8"/>
        <v>5425890</v>
      </c>
      <c r="I41" s="551">
        <f t="shared" si="8"/>
        <v>5431090</v>
      </c>
      <c r="J41" s="551">
        <f t="shared" si="8"/>
        <v>14387272</v>
      </c>
      <c r="K41" s="223"/>
    </row>
    <row r="42" spans="1:11" x14ac:dyDescent="0.25">
      <c r="B42" s="562"/>
      <c r="C42" s="562"/>
      <c r="D42" s="562"/>
      <c r="E42" s="562"/>
      <c r="F42" s="562"/>
      <c r="G42" s="562"/>
      <c r="H42" s="562"/>
      <c r="I42" s="562"/>
      <c r="J42" s="562"/>
    </row>
    <row r="43" spans="1:11" x14ac:dyDescent="0.25">
      <c r="B43" s="562"/>
      <c r="C43" s="562"/>
      <c r="D43" s="562"/>
      <c r="E43" s="562"/>
      <c r="F43" s="562"/>
      <c r="G43" s="562"/>
      <c r="H43" s="562"/>
      <c r="I43" s="562"/>
      <c r="J43" s="562"/>
    </row>
    <row r="44" spans="1:11" x14ac:dyDescent="0.25">
      <c r="B44" s="563"/>
      <c r="C44" s="563"/>
      <c r="D44" s="563"/>
      <c r="E44" s="563"/>
      <c r="F44" s="563"/>
      <c r="G44" s="563"/>
      <c r="H44" s="563"/>
      <c r="I44" s="563"/>
      <c r="J44" s="563"/>
    </row>
    <row r="45" spans="1:11" x14ac:dyDescent="0.25">
      <c r="B45" s="563"/>
      <c r="C45" s="563"/>
      <c r="D45" s="563"/>
      <c r="E45" s="563"/>
      <c r="F45" s="563"/>
      <c r="G45" s="563"/>
      <c r="H45" s="563"/>
      <c r="I45" s="563"/>
      <c r="J45" s="563"/>
    </row>
    <row r="46" spans="1:11" x14ac:dyDescent="0.25">
      <c r="B46" s="563"/>
      <c r="C46" s="563"/>
      <c r="D46" s="563"/>
      <c r="E46" s="563"/>
      <c r="F46" s="563"/>
      <c r="G46" s="563"/>
      <c r="H46" s="563"/>
      <c r="I46" s="563"/>
      <c r="J46" s="563"/>
    </row>
    <row r="47" spans="1:11" x14ac:dyDescent="0.25">
      <c r="B47" s="563"/>
      <c r="C47" s="563"/>
      <c r="D47" s="563"/>
      <c r="E47" s="563"/>
      <c r="F47" s="563"/>
      <c r="G47" s="563"/>
      <c r="H47" s="563"/>
      <c r="I47" s="563"/>
      <c r="J47" s="563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E37" sqref="E37"/>
    </sheetView>
  </sheetViews>
  <sheetFormatPr baseColWidth="10" defaultRowHeight="15" x14ac:dyDescent="0.25"/>
  <cols>
    <col min="1" max="1" width="1.140625" customWidth="1"/>
    <col min="2" max="2" width="57" customWidth="1"/>
    <col min="3" max="5" width="11.7109375" bestFit="1" customWidth="1"/>
    <col min="6" max="6" width="4.28515625" style="212" customWidth="1"/>
  </cols>
  <sheetData>
    <row r="1" spans="1:5" x14ac:dyDescent="0.25">
      <c r="A1" s="614" t="s">
        <v>884</v>
      </c>
      <c r="B1" s="615"/>
      <c r="C1" s="615"/>
      <c r="D1" s="615"/>
      <c r="E1" s="615"/>
    </row>
    <row r="2" spans="1:5" x14ac:dyDescent="0.25">
      <c r="A2" s="617" t="s">
        <v>989</v>
      </c>
      <c r="B2" s="618"/>
      <c r="C2" s="618"/>
      <c r="D2" s="618"/>
      <c r="E2" s="618"/>
    </row>
    <row r="3" spans="1:5" x14ac:dyDescent="0.25">
      <c r="A3" s="620" t="str">
        <f>BALANZA!Q8</f>
        <v>Del 1 de enero al 31 de marzo de 2016</v>
      </c>
      <c r="B3" s="621"/>
      <c r="C3" s="621"/>
      <c r="D3" s="621"/>
      <c r="E3" s="621"/>
    </row>
    <row r="4" spans="1:5" ht="6" customHeight="1" x14ac:dyDescent="0.25">
      <c r="A4" s="172"/>
      <c r="B4" s="172"/>
      <c r="C4" s="172"/>
      <c r="D4" s="172"/>
      <c r="E4" s="172"/>
    </row>
    <row r="5" spans="1:5" x14ac:dyDescent="0.25">
      <c r="A5" s="635" t="s">
        <v>40</v>
      </c>
      <c r="B5" s="635"/>
      <c r="C5" s="213" t="s">
        <v>850</v>
      </c>
      <c r="D5" s="213" t="s">
        <v>853</v>
      </c>
      <c r="E5" s="213" t="s">
        <v>990</v>
      </c>
    </row>
    <row r="6" spans="1:5" ht="5.25" customHeight="1" thickBot="1" x14ac:dyDescent="0.3">
      <c r="A6" s="227"/>
      <c r="B6" s="228"/>
      <c r="C6" s="229"/>
      <c r="D6" s="229"/>
      <c r="E6" s="229"/>
    </row>
    <row r="7" spans="1:5" ht="15.75" thickBot="1" x14ac:dyDescent="0.3">
      <c r="A7" s="271"/>
      <c r="B7" s="272" t="s">
        <v>991</v>
      </c>
      <c r="C7" s="560">
        <f>+C8+C9</f>
        <v>19818362</v>
      </c>
      <c r="D7" s="560">
        <f t="shared" ref="D7:E7" si="0">+D8+D9</f>
        <v>5903496</v>
      </c>
      <c r="E7" s="560">
        <f t="shared" si="0"/>
        <v>5431090</v>
      </c>
    </row>
    <row r="8" spans="1:5" x14ac:dyDescent="0.25">
      <c r="A8" s="667" t="s">
        <v>992</v>
      </c>
      <c r="B8" s="668"/>
      <c r="C8" s="270">
        <f>+[3]EAI!E33</f>
        <v>0</v>
      </c>
      <c r="D8" s="270">
        <f>+[3]EAI!H33</f>
        <v>0</v>
      </c>
      <c r="E8" s="270">
        <f>+[3]EAI!I33</f>
        <v>0</v>
      </c>
    </row>
    <row r="9" spans="1:5" x14ac:dyDescent="0.25">
      <c r="A9" s="669" t="s">
        <v>993</v>
      </c>
      <c r="B9" s="670"/>
      <c r="C9" s="546">
        <v>19818362</v>
      </c>
      <c r="D9" s="546">
        <v>5903496</v>
      </c>
      <c r="E9" s="546">
        <v>5431090</v>
      </c>
    </row>
    <row r="10" spans="1:5" ht="6.75" customHeight="1" thickBot="1" x14ac:dyDescent="0.3">
      <c r="A10" s="214"/>
      <c r="B10" s="215"/>
      <c r="C10" s="231"/>
      <c r="D10" s="231"/>
      <c r="E10" s="231"/>
    </row>
    <row r="11" spans="1:5" ht="15.75" thickBot="1" x14ac:dyDescent="0.3">
      <c r="A11" s="275"/>
      <c r="B11" s="272" t="s">
        <v>994</v>
      </c>
      <c r="C11" s="560">
        <f>+C12+C13</f>
        <v>19818362</v>
      </c>
      <c r="D11" s="560">
        <f t="shared" ref="D11:E11" si="1">+D12+D13</f>
        <v>5903496</v>
      </c>
      <c r="E11" s="560">
        <f t="shared" si="1"/>
        <v>5431090</v>
      </c>
    </row>
    <row r="12" spans="1:5" x14ac:dyDescent="0.25">
      <c r="A12" s="671" t="s">
        <v>995</v>
      </c>
      <c r="B12" s="672"/>
      <c r="C12" s="270"/>
      <c r="D12" s="270"/>
      <c r="E12" s="270"/>
    </row>
    <row r="13" spans="1:5" x14ac:dyDescent="0.25">
      <c r="A13" s="669" t="s">
        <v>996</v>
      </c>
      <c r="B13" s="670"/>
      <c r="C13" s="546">
        <v>19818362</v>
      </c>
      <c r="D13" s="546">
        <v>5903496</v>
      </c>
      <c r="E13" s="546">
        <v>5431090</v>
      </c>
    </row>
    <row r="14" spans="1:5" ht="5.25" customHeight="1" thickBot="1" x14ac:dyDescent="0.3">
      <c r="A14" s="232"/>
      <c r="B14" s="230"/>
      <c r="C14" s="231"/>
      <c r="D14" s="231"/>
      <c r="E14" s="231"/>
    </row>
    <row r="15" spans="1:5" ht="15.75" thickBot="1" x14ac:dyDescent="0.3">
      <c r="A15" s="271"/>
      <c r="B15" s="272" t="s">
        <v>997</v>
      </c>
      <c r="C15" s="273">
        <f>+C7-C11</f>
        <v>0</v>
      </c>
      <c r="D15" s="273">
        <f t="shared" ref="D15:E15" si="2">+D7-D11</f>
        <v>0</v>
      </c>
      <c r="E15" s="273">
        <f t="shared" si="2"/>
        <v>0</v>
      </c>
    </row>
    <row r="16" spans="1:5" x14ac:dyDescent="0.25">
      <c r="A16" s="172"/>
      <c r="B16" s="172"/>
      <c r="C16" s="172"/>
      <c r="D16" s="172"/>
      <c r="E16" s="172"/>
    </row>
    <row r="17" spans="1:5" x14ac:dyDescent="0.25">
      <c r="A17" s="635" t="s">
        <v>40</v>
      </c>
      <c r="B17" s="635"/>
      <c r="C17" s="213" t="s">
        <v>850</v>
      </c>
      <c r="D17" s="213" t="s">
        <v>853</v>
      </c>
      <c r="E17" s="213" t="s">
        <v>990</v>
      </c>
    </row>
    <row r="18" spans="1:5" ht="6.75" customHeight="1" x14ac:dyDescent="0.25">
      <c r="A18" s="227"/>
      <c r="B18" s="228"/>
      <c r="C18" s="229"/>
      <c r="D18" s="229"/>
      <c r="E18" s="229"/>
    </row>
    <row r="19" spans="1:5" x14ac:dyDescent="0.25">
      <c r="A19" s="673" t="s">
        <v>998</v>
      </c>
      <c r="B19" s="674"/>
      <c r="C19" s="274">
        <f>+C15</f>
        <v>0</v>
      </c>
      <c r="D19" s="274">
        <f t="shared" ref="D19:E19" si="3">+D15</f>
        <v>0</v>
      </c>
      <c r="E19" s="274">
        <f t="shared" si="3"/>
        <v>0</v>
      </c>
    </row>
    <row r="20" spans="1:5" ht="6" customHeight="1" x14ac:dyDescent="0.25">
      <c r="A20" s="214"/>
      <c r="B20" s="215"/>
      <c r="C20" s="231"/>
      <c r="D20" s="231"/>
      <c r="E20" s="231"/>
    </row>
    <row r="21" spans="1:5" x14ac:dyDescent="0.25">
      <c r="A21" s="673" t="s">
        <v>999</v>
      </c>
      <c r="B21" s="674"/>
      <c r="C21" s="274"/>
      <c r="D21" s="274"/>
      <c r="E21" s="274"/>
    </row>
    <row r="22" spans="1:5" ht="7.5" customHeight="1" thickBot="1" x14ac:dyDescent="0.3">
      <c r="A22" s="232"/>
      <c r="B22" s="230"/>
      <c r="C22" s="231"/>
      <c r="D22" s="231"/>
      <c r="E22" s="231"/>
    </row>
    <row r="23" spans="1:5" ht="15.75" thickBot="1" x14ac:dyDescent="0.3">
      <c r="A23" s="275"/>
      <c r="B23" s="272" t="s">
        <v>1000</v>
      </c>
      <c r="C23" s="276">
        <f>+C19-C21</f>
        <v>0</v>
      </c>
      <c r="D23" s="276">
        <f t="shared" ref="D23:E23" si="4">+D19-D21</f>
        <v>0</v>
      </c>
      <c r="E23" s="276">
        <f t="shared" si="4"/>
        <v>0</v>
      </c>
    </row>
    <row r="24" spans="1:5" x14ac:dyDescent="0.25">
      <c r="A24" s="172"/>
      <c r="B24" s="172"/>
      <c r="C24" s="172"/>
      <c r="D24" s="172"/>
      <c r="E24" s="172"/>
    </row>
    <row r="25" spans="1:5" x14ac:dyDescent="0.25">
      <c r="A25" s="635" t="s">
        <v>40</v>
      </c>
      <c r="B25" s="635"/>
      <c r="C25" s="213" t="s">
        <v>850</v>
      </c>
      <c r="D25" s="213" t="s">
        <v>853</v>
      </c>
      <c r="E25" s="213" t="s">
        <v>990</v>
      </c>
    </row>
    <row r="26" spans="1:5" ht="5.25" customHeight="1" x14ac:dyDescent="0.25">
      <c r="A26" s="227"/>
      <c r="B26" s="228"/>
      <c r="C26" s="229"/>
      <c r="D26" s="229"/>
      <c r="E26" s="229"/>
    </row>
    <row r="27" spans="1:5" x14ac:dyDescent="0.25">
      <c r="A27" s="673" t="s">
        <v>1001</v>
      </c>
      <c r="B27" s="674"/>
      <c r="C27" s="274">
        <f>+[3]EAI!E52</f>
        <v>0</v>
      </c>
      <c r="D27" s="274">
        <f>+[3]EAI!H51</f>
        <v>0</v>
      </c>
      <c r="E27" s="274">
        <f>+[3]EAI!I54</f>
        <v>0</v>
      </c>
    </row>
    <row r="28" spans="1:5" ht="5.25" customHeight="1" x14ac:dyDescent="0.25">
      <c r="A28" s="214"/>
      <c r="B28" s="215"/>
      <c r="C28" s="231"/>
      <c r="D28" s="231"/>
      <c r="E28" s="231"/>
    </row>
    <row r="29" spans="1:5" x14ac:dyDescent="0.25">
      <c r="A29" s="673" t="s">
        <v>1002</v>
      </c>
      <c r="B29" s="674"/>
      <c r="C29" s="274"/>
      <c r="D29" s="274"/>
      <c r="E29" s="274"/>
    </row>
    <row r="30" spans="1:5" ht="3.75" customHeight="1" thickBot="1" x14ac:dyDescent="0.3">
      <c r="A30" s="233"/>
      <c r="B30" s="234"/>
      <c r="C30" s="270"/>
      <c r="D30" s="270"/>
      <c r="E30" s="270"/>
    </row>
    <row r="31" spans="1:5" ht="15.75" thickBot="1" x14ac:dyDescent="0.3">
      <c r="A31" s="275"/>
      <c r="B31" s="272" t="s">
        <v>1003</v>
      </c>
      <c r="C31" s="276">
        <f>+C27-C29</f>
        <v>0</v>
      </c>
      <c r="D31" s="276">
        <f t="shared" ref="D31:E31" si="5">+D27-D29</f>
        <v>0</v>
      </c>
      <c r="E31" s="276">
        <f t="shared" si="5"/>
        <v>0</v>
      </c>
    </row>
    <row r="32" spans="1:5" s="212" customFormat="1" x14ac:dyDescent="0.25">
      <c r="A32" s="172"/>
      <c r="B32" s="172"/>
      <c r="C32" s="172"/>
      <c r="D32" s="172"/>
      <c r="E32" s="172"/>
    </row>
    <row r="33" spans="1:5" ht="23.25" customHeight="1" x14ac:dyDescent="0.25">
      <c r="A33" s="172"/>
      <c r="B33" s="675" t="s">
        <v>1004</v>
      </c>
      <c r="C33" s="675"/>
      <c r="D33" s="675"/>
      <c r="E33" s="675"/>
    </row>
    <row r="34" spans="1:5" ht="28.5" customHeight="1" x14ac:dyDescent="0.25">
      <c r="A34" s="172"/>
      <c r="B34" s="675" t="s">
        <v>1005</v>
      </c>
      <c r="C34" s="675"/>
      <c r="D34" s="675"/>
      <c r="E34" s="675"/>
    </row>
    <row r="35" spans="1:5" x14ac:dyDescent="0.25">
      <c r="A35" s="172"/>
      <c r="B35" s="676" t="s">
        <v>1006</v>
      </c>
      <c r="C35" s="676"/>
      <c r="D35" s="676"/>
      <c r="E35" s="676"/>
    </row>
    <row r="36" spans="1:5" s="212" customFormat="1" x14ac:dyDescent="0.25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0"/>
  <sheetViews>
    <sheetView workbookViewId="0">
      <selection activeCell="B3" sqref="B3:E3"/>
    </sheetView>
  </sheetViews>
  <sheetFormatPr baseColWidth="10" defaultRowHeight="12" x14ac:dyDescent="0.2"/>
  <cols>
    <col min="1" max="1" width="4.85546875" style="281" customWidth="1"/>
    <col min="2" max="2" width="30.85546875" style="281" customWidth="1"/>
    <col min="3" max="3" width="84.42578125" style="281" customWidth="1"/>
    <col min="4" max="4" width="31.7109375" style="281" customWidth="1"/>
    <col min="5" max="5" width="4.85546875" style="281" customWidth="1"/>
    <col min="6" max="6" width="4.42578125" style="281" customWidth="1"/>
    <col min="7" max="256" width="11.42578125" style="281"/>
    <col min="257" max="257" width="4.85546875" style="281" customWidth="1"/>
    <col min="258" max="258" width="30.85546875" style="281" customWidth="1"/>
    <col min="259" max="259" width="84.42578125" style="281" customWidth="1"/>
    <col min="260" max="260" width="42.7109375" style="281" customWidth="1"/>
    <col min="261" max="261" width="4.85546875" style="281" customWidth="1"/>
    <col min="262" max="512" width="11.42578125" style="281"/>
    <col min="513" max="513" width="4.85546875" style="281" customWidth="1"/>
    <col min="514" max="514" width="30.85546875" style="281" customWidth="1"/>
    <col min="515" max="515" width="84.42578125" style="281" customWidth="1"/>
    <col min="516" max="516" width="42.7109375" style="281" customWidth="1"/>
    <col min="517" max="517" width="4.85546875" style="281" customWidth="1"/>
    <col min="518" max="768" width="11.42578125" style="281"/>
    <col min="769" max="769" width="4.85546875" style="281" customWidth="1"/>
    <col min="770" max="770" width="30.85546875" style="281" customWidth="1"/>
    <col min="771" max="771" width="84.42578125" style="281" customWidth="1"/>
    <col min="772" max="772" width="42.7109375" style="281" customWidth="1"/>
    <col min="773" max="773" width="4.85546875" style="281" customWidth="1"/>
    <col min="774" max="1024" width="11.42578125" style="281"/>
    <col min="1025" max="1025" width="4.85546875" style="281" customWidth="1"/>
    <col min="1026" max="1026" width="30.85546875" style="281" customWidth="1"/>
    <col min="1027" max="1027" width="84.42578125" style="281" customWidth="1"/>
    <col min="1028" max="1028" width="42.7109375" style="281" customWidth="1"/>
    <col min="1029" max="1029" width="4.85546875" style="281" customWidth="1"/>
    <col min="1030" max="1280" width="11.42578125" style="281"/>
    <col min="1281" max="1281" width="4.85546875" style="281" customWidth="1"/>
    <col min="1282" max="1282" width="30.85546875" style="281" customWidth="1"/>
    <col min="1283" max="1283" width="84.42578125" style="281" customWidth="1"/>
    <col min="1284" max="1284" width="42.7109375" style="281" customWidth="1"/>
    <col min="1285" max="1285" width="4.85546875" style="281" customWidth="1"/>
    <col min="1286" max="1536" width="11.42578125" style="281"/>
    <col min="1537" max="1537" width="4.85546875" style="281" customWidth="1"/>
    <col min="1538" max="1538" width="30.85546875" style="281" customWidth="1"/>
    <col min="1539" max="1539" width="84.42578125" style="281" customWidth="1"/>
    <col min="1540" max="1540" width="42.7109375" style="281" customWidth="1"/>
    <col min="1541" max="1541" width="4.85546875" style="281" customWidth="1"/>
    <col min="1542" max="1792" width="11.42578125" style="281"/>
    <col min="1793" max="1793" width="4.85546875" style="281" customWidth="1"/>
    <col min="1794" max="1794" width="30.85546875" style="281" customWidth="1"/>
    <col min="1795" max="1795" width="84.42578125" style="281" customWidth="1"/>
    <col min="1796" max="1796" width="42.7109375" style="281" customWidth="1"/>
    <col min="1797" max="1797" width="4.85546875" style="281" customWidth="1"/>
    <col min="1798" max="2048" width="11.42578125" style="281"/>
    <col min="2049" max="2049" width="4.85546875" style="281" customWidth="1"/>
    <col min="2050" max="2050" width="30.85546875" style="281" customWidth="1"/>
    <col min="2051" max="2051" width="84.42578125" style="281" customWidth="1"/>
    <col min="2052" max="2052" width="42.7109375" style="281" customWidth="1"/>
    <col min="2053" max="2053" width="4.85546875" style="281" customWidth="1"/>
    <col min="2054" max="2304" width="11.42578125" style="281"/>
    <col min="2305" max="2305" width="4.85546875" style="281" customWidth="1"/>
    <col min="2306" max="2306" width="30.85546875" style="281" customWidth="1"/>
    <col min="2307" max="2307" width="84.42578125" style="281" customWidth="1"/>
    <col min="2308" max="2308" width="42.7109375" style="281" customWidth="1"/>
    <col min="2309" max="2309" width="4.85546875" style="281" customWidth="1"/>
    <col min="2310" max="2560" width="11.42578125" style="281"/>
    <col min="2561" max="2561" width="4.85546875" style="281" customWidth="1"/>
    <col min="2562" max="2562" width="30.85546875" style="281" customWidth="1"/>
    <col min="2563" max="2563" width="84.42578125" style="281" customWidth="1"/>
    <col min="2564" max="2564" width="42.7109375" style="281" customWidth="1"/>
    <col min="2565" max="2565" width="4.85546875" style="281" customWidth="1"/>
    <col min="2566" max="2816" width="11.42578125" style="281"/>
    <col min="2817" max="2817" width="4.85546875" style="281" customWidth="1"/>
    <col min="2818" max="2818" width="30.85546875" style="281" customWidth="1"/>
    <col min="2819" max="2819" width="84.42578125" style="281" customWidth="1"/>
    <col min="2820" max="2820" width="42.7109375" style="281" customWidth="1"/>
    <col min="2821" max="2821" width="4.85546875" style="281" customWidth="1"/>
    <col min="2822" max="3072" width="11.42578125" style="281"/>
    <col min="3073" max="3073" width="4.85546875" style="281" customWidth="1"/>
    <col min="3074" max="3074" width="30.85546875" style="281" customWidth="1"/>
    <col min="3075" max="3075" width="84.42578125" style="281" customWidth="1"/>
    <col min="3076" max="3076" width="42.7109375" style="281" customWidth="1"/>
    <col min="3077" max="3077" width="4.85546875" style="281" customWidth="1"/>
    <col min="3078" max="3328" width="11.42578125" style="281"/>
    <col min="3329" max="3329" width="4.85546875" style="281" customWidth="1"/>
    <col min="3330" max="3330" width="30.85546875" style="281" customWidth="1"/>
    <col min="3331" max="3331" width="84.42578125" style="281" customWidth="1"/>
    <col min="3332" max="3332" width="42.7109375" style="281" customWidth="1"/>
    <col min="3333" max="3333" width="4.85546875" style="281" customWidth="1"/>
    <col min="3334" max="3584" width="11.42578125" style="281"/>
    <col min="3585" max="3585" width="4.85546875" style="281" customWidth="1"/>
    <col min="3586" max="3586" width="30.85546875" style="281" customWidth="1"/>
    <col min="3587" max="3587" width="84.42578125" style="281" customWidth="1"/>
    <col min="3588" max="3588" width="42.7109375" style="281" customWidth="1"/>
    <col min="3589" max="3589" width="4.85546875" style="281" customWidth="1"/>
    <col min="3590" max="3840" width="11.42578125" style="281"/>
    <col min="3841" max="3841" width="4.85546875" style="281" customWidth="1"/>
    <col min="3842" max="3842" width="30.85546875" style="281" customWidth="1"/>
    <col min="3843" max="3843" width="84.42578125" style="281" customWidth="1"/>
    <col min="3844" max="3844" width="42.7109375" style="281" customWidth="1"/>
    <col min="3845" max="3845" width="4.85546875" style="281" customWidth="1"/>
    <col min="3846" max="4096" width="11.42578125" style="281"/>
    <col min="4097" max="4097" width="4.85546875" style="281" customWidth="1"/>
    <col min="4098" max="4098" width="30.85546875" style="281" customWidth="1"/>
    <col min="4099" max="4099" width="84.42578125" style="281" customWidth="1"/>
    <col min="4100" max="4100" width="42.7109375" style="281" customWidth="1"/>
    <col min="4101" max="4101" width="4.85546875" style="281" customWidth="1"/>
    <col min="4102" max="4352" width="11.42578125" style="281"/>
    <col min="4353" max="4353" width="4.85546875" style="281" customWidth="1"/>
    <col min="4354" max="4354" width="30.85546875" style="281" customWidth="1"/>
    <col min="4355" max="4355" width="84.42578125" style="281" customWidth="1"/>
    <col min="4356" max="4356" width="42.7109375" style="281" customWidth="1"/>
    <col min="4357" max="4357" width="4.85546875" style="281" customWidth="1"/>
    <col min="4358" max="4608" width="11.42578125" style="281"/>
    <col min="4609" max="4609" width="4.85546875" style="281" customWidth="1"/>
    <col min="4610" max="4610" width="30.85546875" style="281" customWidth="1"/>
    <col min="4611" max="4611" width="84.42578125" style="281" customWidth="1"/>
    <col min="4612" max="4612" width="42.7109375" style="281" customWidth="1"/>
    <col min="4613" max="4613" width="4.85546875" style="281" customWidth="1"/>
    <col min="4614" max="4864" width="11.42578125" style="281"/>
    <col min="4865" max="4865" width="4.85546875" style="281" customWidth="1"/>
    <col min="4866" max="4866" width="30.85546875" style="281" customWidth="1"/>
    <col min="4867" max="4867" width="84.42578125" style="281" customWidth="1"/>
    <col min="4868" max="4868" width="42.7109375" style="281" customWidth="1"/>
    <col min="4869" max="4869" width="4.85546875" style="281" customWidth="1"/>
    <col min="4870" max="5120" width="11.42578125" style="281"/>
    <col min="5121" max="5121" width="4.85546875" style="281" customWidth="1"/>
    <col min="5122" max="5122" width="30.85546875" style="281" customWidth="1"/>
    <col min="5123" max="5123" width="84.42578125" style="281" customWidth="1"/>
    <col min="5124" max="5124" width="42.7109375" style="281" customWidth="1"/>
    <col min="5125" max="5125" width="4.85546875" style="281" customWidth="1"/>
    <col min="5126" max="5376" width="11.42578125" style="281"/>
    <col min="5377" max="5377" width="4.85546875" style="281" customWidth="1"/>
    <col min="5378" max="5378" width="30.85546875" style="281" customWidth="1"/>
    <col min="5379" max="5379" width="84.42578125" style="281" customWidth="1"/>
    <col min="5380" max="5380" width="42.7109375" style="281" customWidth="1"/>
    <col min="5381" max="5381" width="4.85546875" style="281" customWidth="1"/>
    <col min="5382" max="5632" width="11.42578125" style="281"/>
    <col min="5633" max="5633" width="4.85546875" style="281" customWidth="1"/>
    <col min="5634" max="5634" width="30.85546875" style="281" customWidth="1"/>
    <col min="5635" max="5635" width="84.42578125" style="281" customWidth="1"/>
    <col min="5636" max="5636" width="42.7109375" style="281" customWidth="1"/>
    <col min="5637" max="5637" width="4.85546875" style="281" customWidth="1"/>
    <col min="5638" max="5888" width="11.42578125" style="281"/>
    <col min="5889" max="5889" width="4.85546875" style="281" customWidth="1"/>
    <col min="5890" max="5890" width="30.85546875" style="281" customWidth="1"/>
    <col min="5891" max="5891" width="84.42578125" style="281" customWidth="1"/>
    <col min="5892" max="5892" width="42.7109375" style="281" customWidth="1"/>
    <col min="5893" max="5893" width="4.85546875" style="281" customWidth="1"/>
    <col min="5894" max="6144" width="11.42578125" style="281"/>
    <col min="6145" max="6145" width="4.85546875" style="281" customWidth="1"/>
    <col min="6146" max="6146" width="30.85546875" style="281" customWidth="1"/>
    <col min="6147" max="6147" width="84.42578125" style="281" customWidth="1"/>
    <col min="6148" max="6148" width="42.7109375" style="281" customWidth="1"/>
    <col min="6149" max="6149" width="4.85546875" style="281" customWidth="1"/>
    <col min="6150" max="6400" width="11.42578125" style="281"/>
    <col min="6401" max="6401" width="4.85546875" style="281" customWidth="1"/>
    <col min="6402" max="6402" width="30.85546875" style="281" customWidth="1"/>
    <col min="6403" max="6403" width="84.42578125" style="281" customWidth="1"/>
    <col min="6404" max="6404" width="42.7109375" style="281" customWidth="1"/>
    <col min="6405" max="6405" width="4.85546875" style="281" customWidth="1"/>
    <col min="6406" max="6656" width="11.42578125" style="281"/>
    <col min="6657" max="6657" width="4.85546875" style="281" customWidth="1"/>
    <col min="6658" max="6658" width="30.85546875" style="281" customWidth="1"/>
    <col min="6659" max="6659" width="84.42578125" style="281" customWidth="1"/>
    <col min="6660" max="6660" width="42.7109375" style="281" customWidth="1"/>
    <col min="6661" max="6661" width="4.85546875" style="281" customWidth="1"/>
    <col min="6662" max="6912" width="11.42578125" style="281"/>
    <col min="6913" max="6913" width="4.85546875" style="281" customWidth="1"/>
    <col min="6914" max="6914" width="30.85546875" style="281" customWidth="1"/>
    <col min="6915" max="6915" width="84.42578125" style="281" customWidth="1"/>
    <col min="6916" max="6916" width="42.7109375" style="281" customWidth="1"/>
    <col min="6917" max="6917" width="4.85546875" style="281" customWidth="1"/>
    <col min="6918" max="7168" width="11.42578125" style="281"/>
    <col min="7169" max="7169" width="4.85546875" style="281" customWidth="1"/>
    <col min="7170" max="7170" width="30.85546875" style="281" customWidth="1"/>
    <col min="7171" max="7171" width="84.42578125" style="281" customWidth="1"/>
    <col min="7172" max="7172" width="42.7109375" style="281" customWidth="1"/>
    <col min="7173" max="7173" width="4.85546875" style="281" customWidth="1"/>
    <col min="7174" max="7424" width="11.42578125" style="281"/>
    <col min="7425" max="7425" width="4.85546875" style="281" customWidth="1"/>
    <col min="7426" max="7426" width="30.85546875" style="281" customWidth="1"/>
    <col min="7427" max="7427" width="84.42578125" style="281" customWidth="1"/>
    <col min="7428" max="7428" width="42.7109375" style="281" customWidth="1"/>
    <col min="7429" max="7429" width="4.85546875" style="281" customWidth="1"/>
    <col min="7430" max="7680" width="11.42578125" style="281"/>
    <col min="7681" max="7681" width="4.85546875" style="281" customWidth="1"/>
    <col min="7682" max="7682" width="30.85546875" style="281" customWidth="1"/>
    <col min="7683" max="7683" width="84.42578125" style="281" customWidth="1"/>
    <col min="7684" max="7684" width="42.7109375" style="281" customWidth="1"/>
    <col min="7685" max="7685" width="4.85546875" style="281" customWidth="1"/>
    <col min="7686" max="7936" width="11.42578125" style="281"/>
    <col min="7937" max="7937" width="4.85546875" style="281" customWidth="1"/>
    <col min="7938" max="7938" width="30.85546875" style="281" customWidth="1"/>
    <col min="7939" max="7939" width="84.42578125" style="281" customWidth="1"/>
    <col min="7940" max="7940" width="42.7109375" style="281" customWidth="1"/>
    <col min="7941" max="7941" width="4.85546875" style="281" customWidth="1"/>
    <col min="7942" max="8192" width="11.42578125" style="281"/>
    <col min="8193" max="8193" width="4.85546875" style="281" customWidth="1"/>
    <col min="8194" max="8194" width="30.85546875" style="281" customWidth="1"/>
    <col min="8195" max="8195" width="84.42578125" style="281" customWidth="1"/>
    <col min="8196" max="8196" width="42.7109375" style="281" customWidth="1"/>
    <col min="8197" max="8197" width="4.85546875" style="281" customWidth="1"/>
    <col min="8198" max="8448" width="11.42578125" style="281"/>
    <col min="8449" max="8449" width="4.85546875" style="281" customWidth="1"/>
    <col min="8450" max="8450" width="30.85546875" style="281" customWidth="1"/>
    <col min="8451" max="8451" width="84.42578125" style="281" customWidth="1"/>
    <col min="8452" max="8452" width="42.7109375" style="281" customWidth="1"/>
    <col min="8453" max="8453" width="4.85546875" style="281" customWidth="1"/>
    <col min="8454" max="8704" width="11.42578125" style="281"/>
    <col min="8705" max="8705" width="4.85546875" style="281" customWidth="1"/>
    <col min="8706" max="8706" width="30.85546875" style="281" customWidth="1"/>
    <col min="8707" max="8707" width="84.42578125" style="281" customWidth="1"/>
    <col min="8708" max="8708" width="42.7109375" style="281" customWidth="1"/>
    <col min="8709" max="8709" width="4.85546875" style="281" customWidth="1"/>
    <col min="8710" max="8960" width="11.42578125" style="281"/>
    <col min="8961" max="8961" width="4.85546875" style="281" customWidth="1"/>
    <col min="8962" max="8962" width="30.85546875" style="281" customWidth="1"/>
    <col min="8963" max="8963" width="84.42578125" style="281" customWidth="1"/>
    <col min="8964" max="8964" width="42.7109375" style="281" customWidth="1"/>
    <col min="8965" max="8965" width="4.85546875" style="281" customWidth="1"/>
    <col min="8966" max="9216" width="11.42578125" style="281"/>
    <col min="9217" max="9217" width="4.85546875" style="281" customWidth="1"/>
    <col min="9218" max="9218" width="30.85546875" style="281" customWidth="1"/>
    <col min="9219" max="9219" width="84.42578125" style="281" customWidth="1"/>
    <col min="9220" max="9220" width="42.7109375" style="281" customWidth="1"/>
    <col min="9221" max="9221" width="4.85546875" style="281" customWidth="1"/>
    <col min="9222" max="9472" width="11.42578125" style="281"/>
    <col min="9473" max="9473" width="4.85546875" style="281" customWidth="1"/>
    <col min="9474" max="9474" width="30.85546875" style="281" customWidth="1"/>
    <col min="9475" max="9475" width="84.42578125" style="281" customWidth="1"/>
    <col min="9476" max="9476" width="42.7109375" style="281" customWidth="1"/>
    <col min="9477" max="9477" width="4.85546875" style="281" customWidth="1"/>
    <col min="9478" max="9728" width="11.42578125" style="281"/>
    <col min="9729" max="9729" width="4.85546875" style="281" customWidth="1"/>
    <col min="9730" max="9730" width="30.85546875" style="281" customWidth="1"/>
    <col min="9731" max="9731" width="84.42578125" style="281" customWidth="1"/>
    <col min="9732" max="9732" width="42.7109375" style="281" customWidth="1"/>
    <col min="9733" max="9733" width="4.85546875" style="281" customWidth="1"/>
    <col min="9734" max="9984" width="11.42578125" style="281"/>
    <col min="9985" max="9985" width="4.85546875" style="281" customWidth="1"/>
    <col min="9986" max="9986" width="30.85546875" style="281" customWidth="1"/>
    <col min="9987" max="9987" width="84.42578125" style="281" customWidth="1"/>
    <col min="9988" max="9988" width="42.7109375" style="281" customWidth="1"/>
    <col min="9989" max="9989" width="4.85546875" style="281" customWidth="1"/>
    <col min="9990" max="10240" width="11.42578125" style="281"/>
    <col min="10241" max="10241" width="4.85546875" style="281" customWidth="1"/>
    <col min="10242" max="10242" width="30.85546875" style="281" customWidth="1"/>
    <col min="10243" max="10243" width="84.42578125" style="281" customWidth="1"/>
    <col min="10244" max="10244" width="42.7109375" style="281" customWidth="1"/>
    <col min="10245" max="10245" width="4.85546875" style="281" customWidth="1"/>
    <col min="10246" max="10496" width="11.42578125" style="281"/>
    <col min="10497" max="10497" width="4.85546875" style="281" customWidth="1"/>
    <col min="10498" max="10498" width="30.85546875" style="281" customWidth="1"/>
    <col min="10499" max="10499" width="84.42578125" style="281" customWidth="1"/>
    <col min="10500" max="10500" width="42.7109375" style="281" customWidth="1"/>
    <col min="10501" max="10501" width="4.85546875" style="281" customWidth="1"/>
    <col min="10502" max="10752" width="11.42578125" style="281"/>
    <col min="10753" max="10753" width="4.85546875" style="281" customWidth="1"/>
    <col min="10754" max="10754" width="30.85546875" style="281" customWidth="1"/>
    <col min="10755" max="10755" width="84.42578125" style="281" customWidth="1"/>
    <col min="10756" max="10756" width="42.7109375" style="281" customWidth="1"/>
    <col min="10757" max="10757" width="4.85546875" style="281" customWidth="1"/>
    <col min="10758" max="11008" width="11.42578125" style="281"/>
    <col min="11009" max="11009" width="4.85546875" style="281" customWidth="1"/>
    <col min="11010" max="11010" width="30.85546875" style="281" customWidth="1"/>
    <col min="11011" max="11011" width="84.42578125" style="281" customWidth="1"/>
    <col min="11012" max="11012" width="42.7109375" style="281" customWidth="1"/>
    <col min="11013" max="11013" width="4.85546875" style="281" customWidth="1"/>
    <col min="11014" max="11264" width="11.42578125" style="281"/>
    <col min="11265" max="11265" width="4.85546875" style="281" customWidth="1"/>
    <col min="11266" max="11266" width="30.85546875" style="281" customWidth="1"/>
    <col min="11267" max="11267" width="84.42578125" style="281" customWidth="1"/>
    <col min="11268" max="11268" width="42.7109375" style="281" customWidth="1"/>
    <col min="11269" max="11269" width="4.85546875" style="281" customWidth="1"/>
    <col min="11270" max="11520" width="11.42578125" style="281"/>
    <col min="11521" max="11521" width="4.85546875" style="281" customWidth="1"/>
    <col min="11522" max="11522" width="30.85546875" style="281" customWidth="1"/>
    <col min="11523" max="11523" width="84.42578125" style="281" customWidth="1"/>
    <col min="11524" max="11524" width="42.7109375" style="281" customWidth="1"/>
    <col min="11525" max="11525" width="4.85546875" style="281" customWidth="1"/>
    <col min="11526" max="11776" width="11.42578125" style="281"/>
    <col min="11777" max="11777" width="4.85546875" style="281" customWidth="1"/>
    <col min="11778" max="11778" width="30.85546875" style="281" customWidth="1"/>
    <col min="11779" max="11779" width="84.42578125" style="281" customWidth="1"/>
    <col min="11780" max="11780" width="42.7109375" style="281" customWidth="1"/>
    <col min="11781" max="11781" width="4.85546875" style="281" customWidth="1"/>
    <col min="11782" max="12032" width="11.42578125" style="281"/>
    <col min="12033" max="12033" width="4.85546875" style="281" customWidth="1"/>
    <col min="12034" max="12034" width="30.85546875" style="281" customWidth="1"/>
    <col min="12035" max="12035" width="84.42578125" style="281" customWidth="1"/>
    <col min="12036" max="12036" width="42.7109375" style="281" customWidth="1"/>
    <col min="12037" max="12037" width="4.85546875" style="281" customWidth="1"/>
    <col min="12038" max="12288" width="11.42578125" style="281"/>
    <col min="12289" max="12289" width="4.85546875" style="281" customWidth="1"/>
    <col min="12290" max="12290" width="30.85546875" style="281" customWidth="1"/>
    <col min="12291" max="12291" width="84.42578125" style="281" customWidth="1"/>
    <col min="12292" max="12292" width="42.7109375" style="281" customWidth="1"/>
    <col min="12293" max="12293" width="4.85546875" style="281" customWidth="1"/>
    <col min="12294" max="12544" width="11.42578125" style="281"/>
    <col min="12545" max="12545" width="4.85546875" style="281" customWidth="1"/>
    <col min="12546" max="12546" width="30.85546875" style="281" customWidth="1"/>
    <col min="12547" max="12547" width="84.42578125" style="281" customWidth="1"/>
    <col min="12548" max="12548" width="42.7109375" style="281" customWidth="1"/>
    <col min="12549" max="12549" width="4.85546875" style="281" customWidth="1"/>
    <col min="12550" max="12800" width="11.42578125" style="281"/>
    <col min="12801" max="12801" width="4.85546875" style="281" customWidth="1"/>
    <col min="12802" max="12802" width="30.85546875" style="281" customWidth="1"/>
    <col min="12803" max="12803" width="84.42578125" style="281" customWidth="1"/>
    <col min="12804" max="12804" width="42.7109375" style="281" customWidth="1"/>
    <col min="12805" max="12805" width="4.85546875" style="281" customWidth="1"/>
    <col min="12806" max="13056" width="11.42578125" style="281"/>
    <col min="13057" max="13057" width="4.85546875" style="281" customWidth="1"/>
    <col min="13058" max="13058" width="30.85546875" style="281" customWidth="1"/>
    <col min="13059" max="13059" width="84.42578125" style="281" customWidth="1"/>
    <col min="13060" max="13060" width="42.7109375" style="281" customWidth="1"/>
    <col min="13061" max="13061" width="4.85546875" style="281" customWidth="1"/>
    <col min="13062" max="13312" width="11.42578125" style="281"/>
    <col min="13313" max="13313" width="4.85546875" style="281" customWidth="1"/>
    <col min="13314" max="13314" width="30.85546875" style="281" customWidth="1"/>
    <col min="13315" max="13315" width="84.42578125" style="281" customWidth="1"/>
    <col min="13316" max="13316" width="42.7109375" style="281" customWidth="1"/>
    <col min="13317" max="13317" width="4.85546875" style="281" customWidth="1"/>
    <col min="13318" max="13568" width="11.42578125" style="281"/>
    <col min="13569" max="13569" width="4.85546875" style="281" customWidth="1"/>
    <col min="13570" max="13570" width="30.85546875" style="281" customWidth="1"/>
    <col min="13571" max="13571" width="84.42578125" style="281" customWidth="1"/>
    <col min="13572" max="13572" width="42.7109375" style="281" customWidth="1"/>
    <col min="13573" max="13573" width="4.85546875" style="281" customWidth="1"/>
    <col min="13574" max="13824" width="11.42578125" style="281"/>
    <col min="13825" max="13825" width="4.85546875" style="281" customWidth="1"/>
    <col min="13826" max="13826" width="30.85546875" style="281" customWidth="1"/>
    <col min="13827" max="13827" width="84.42578125" style="281" customWidth="1"/>
    <col min="13828" max="13828" width="42.7109375" style="281" customWidth="1"/>
    <col min="13829" max="13829" width="4.85546875" style="281" customWidth="1"/>
    <col min="13830" max="14080" width="11.42578125" style="281"/>
    <col min="14081" max="14081" width="4.85546875" style="281" customWidth="1"/>
    <col min="14082" max="14082" width="30.85546875" style="281" customWidth="1"/>
    <col min="14083" max="14083" width="84.42578125" style="281" customWidth="1"/>
    <col min="14084" max="14084" width="42.7109375" style="281" customWidth="1"/>
    <col min="14085" max="14085" width="4.85546875" style="281" customWidth="1"/>
    <col min="14086" max="14336" width="11.42578125" style="281"/>
    <col min="14337" max="14337" width="4.85546875" style="281" customWidth="1"/>
    <col min="14338" max="14338" width="30.85546875" style="281" customWidth="1"/>
    <col min="14339" max="14339" width="84.42578125" style="281" customWidth="1"/>
    <col min="14340" max="14340" width="42.7109375" style="281" customWidth="1"/>
    <col min="14341" max="14341" width="4.85546875" style="281" customWidth="1"/>
    <col min="14342" max="14592" width="11.42578125" style="281"/>
    <col min="14593" max="14593" width="4.85546875" style="281" customWidth="1"/>
    <col min="14594" max="14594" width="30.85546875" style="281" customWidth="1"/>
    <col min="14595" max="14595" width="84.42578125" style="281" customWidth="1"/>
    <col min="14596" max="14596" width="42.7109375" style="281" customWidth="1"/>
    <col min="14597" max="14597" width="4.85546875" style="281" customWidth="1"/>
    <col min="14598" max="14848" width="11.42578125" style="281"/>
    <col min="14849" max="14849" width="4.85546875" style="281" customWidth="1"/>
    <col min="14850" max="14850" width="30.85546875" style="281" customWidth="1"/>
    <col min="14851" max="14851" width="84.42578125" style="281" customWidth="1"/>
    <col min="14852" max="14852" width="42.7109375" style="281" customWidth="1"/>
    <col min="14853" max="14853" width="4.85546875" style="281" customWidth="1"/>
    <col min="14854" max="15104" width="11.42578125" style="281"/>
    <col min="15105" max="15105" width="4.85546875" style="281" customWidth="1"/>
    <col min="15106" max="15106" width="30.85546875" style="281" customWidth="1"/>
    <col min="15107" max="15107" width="84.42578125" style="281" customWidth="1"/>
    <col min="15108" max="15108" width="42.7109375" style="281" customWidth="1"/>
    <col min="15109" max="15109" width="4.85546875" style="281" customWidth="1"/>
    <col min="15110" max="15360" width="11.42578125" style="281"/>
    <col min="15361" max="15361" width="4.85546875" style="281" customWidth="1"/>
    <col min="15362" max="15362" width="30.85546875" style="281" customWidth="1"/>
    <col min="15363" max="15363" width="84.42578125" style="281" customWidth="1"/>
    <col min="15364" max="15364" width="42.7109375" style="281" customWidth="1"/>
    <col min="15365" max="15365" width="4.85546875" style="281" customWidth="1"/>
    <col min="15366" max="15616" width="11.42578125" style="281"/>
    <col min="15617" max="15617" width="4.85546875" style="281" customWidth="1"/>
    <col min="15618" max="15618" width="30.85546875" style="281" customWidth="1"/>
    <col min="15619" max="15619" width="84.42578125" style="281" customWidth="1"/>
    <col min="15620" max="15620" width="42.7109375" style="281" customWidth="1"/>
    <col min="15621" max="15621" width="4.85546875" style="281" customWidth="1"/>
    <col min="15622" max="15872" width="11.42578125" style="281"/>
    <col min="15873" max="15873" width="4.85546875" style="281" customWidth="1"/>
    <col min="15874" max="15874" width="30.85546875" style="281" customWidth="1"/>
    <col min="15875" max="15875" width="84.42578125" style="281" customWidth="1"/>
    <col min="15876" max="15876" width="42.7109375" style="281" customWidth="1"/>
    <col min="15877" max="15877" width="4.85546875" style="281" customWidth="1"/>
    <col min="15878" max="16128" width="11.42578125" style="281"/>
    <col min="16129" max="16129" width="4.85546875" style="281" customWidth="1"/>
    <col min="16130" max="16130" width="30.85546875" style="281" customWidth="1"/>
    <col min="16131" max="16131" width="84.42578125" style="281" customWidth="1"/>
    <col min="16132" max="16132" width="42.7109375" style="281" customWidth="1"/>
    <col min="16133" max="16133" width="4.85546875" style="281" customWidth="1"/>
    <col min="16134" max="16384" width="11.42578125" style="281"/>
  </cols>
  <sheetData>
    <row r="1" spans="1:8" s="45" customFormat="1" x14ac:dyDescent="0.2">
      <c r="B1" s="677" t="s">
        <v>1013</v>
      </c>
      <c r="C1" s="677"/>
      <c r="D1" s="677"/>
      <c r="E1" s="677"/>
    </row>
    <row r="2" spans="1:8" s="45" customFormat="1" x14ac:dyDescent="0.2">
      <c r="B2" s="677" t="s">
        <v>1264</v>
      </c>
      <c r="C2" s="677"/>
      <c r="D2" s="677"/>
      <c r="E2" s="677"/>
    </row>
    <row r="3" spans="1:8" s="45" customFormat="1" x14ac:dyDescent="0.2">
      <c r="B3" s="677" t="s">
        <v>1008</v>
      </c>
      <c r="C3" s="677"/>
      <c r="D3" s="677"/>
      <c r="E3" s="677"/>
    </row>
    <row r="4" spans="1:8" x14ac:dyDescent="0.2">
      <c r="A4" s="277"/>
      <c r="B4" s="278" t="s">
        <v>1009</v>
      </c>
      <c r="C4" s="678" t="s">
        <v>1023</v>
      </c>
      <c r="D4" s="678"/>
      <c r="E4" s="302"/>
      <c r="F4" s="280"/>
      <c r="G4" s="280"/>
      <c r="H4" s="280"/>
    </row>
    <row r="5" spans="1:8" x14ac:dyDescent="0.2">
      <c r="A5" s="277"/>
      <c r="B5" s="282"/>
      <c r="C5" s="283"/>
      <c r="D5" s="283"/>
      <c r="E5" s="284"/>
    </row>
    <row r="6" spans="1:8" s="286" customFormat="1" x14ac:dyDescent="0.2">
      <c r="A6" s="285"/>
      <c r="B6" s="160"/>
      <c r="C6" s="285"/>
      <c r="D6" s="285"/>
      <c r="E6" s="160"/>
    </row>
    <row r="7" spans="1:8" s="50" customFormat="1" x14ac:dyDescent="0.2">
      <c r="A7" s="679" t="s">
        <v>1010</v>
      </c>
      <c r="B7" s="680"/>
      <c r="C7" s="287" t="s">
        <v>1014</v>
      </c>
      <c r="D7" s="287" t="s">
        <v>1012</v>
      </c>
      <c r="E7" s="288"/>
    </row>
    <row r="8" spans="1:8" s="286" customFormat="1" x14ac:dyDescent="0.2">
      <c r="A8" s="289"/>
      <c r="B8" s="290"/>
      <c r="C8" s="290"/>
      <c r="D8" s="290"/>
      <c r="E8" s="291"/>
    </row>
    <row r="9" spans="1:8" x14ac:dyDescent="0.2">
      <c r="A9" s="292"/>
      <c r="B9" s="293"/>
      <c r="C9" s="311" t="s">
        <v>122</v>
      </c>
      <c r="D9" s="336">
        <f>+D10+D11+D12+D15+D16+D17+D18</f>
        <v>867420.59</v>
      </c>
      <c r="E9" s="294"/>
    </row>
    <row r="10" spans="1:8" x14ac:dyDescent="0.2">
      <c r="A10" s="292"/>
      <c r="B10" s="293"/>
      <c r="C10" s="311" t="s">
        <v>287</v>
      </c>
      <c r="D10" s="336">
        <v>0</v>
      </c>
      <c r="E10" s="294"/>
    </row>
    <row r="11" spans="1:8" x14ac:dyDescent="0.2">
      <c r="A11" s="292"/>
      <c r="B11" s="293"/>
      <c r="C11" s="311" t="s">
        <v>288</v>
      </c>
      <c r="D11" s="336">
        <v>0</v>
      </c>
      <c r="E11" s="294"/>
    </row>
    <row r="12" spans="1:8" x14ac:dyDescent="0.2">
      <c r="A12" s="292"/>
      <c r="B12" s="293" t="s">
        <v>1116</v>
      </c>
      <c r="C12" s="311" t="s">
        <v>289</v>
      </c>
      <c r="D12" s="336">
        <f>+D13+D14</f>
        <v>867420.59</v>
      </c>
      <c r="E12" s="294"/>
    </row>
    <row r="13" spans="1:8" x14ac:dyDescent="0.2">
      <c r="A13" s="292"/>
      <c r="B13" s="293" t="s">
        <v>1117</v>
      </c>
      <c r="C13" s="311" t="s">
        <v>706</v>
      </c>
      <c r="D13" s="336">
        <v>236544.33</v>
      </c>
      <c r="E13" s="294"/>
    </row>
    <row r="14" spans="1:8" x14ac:dyDescent="0.2">
      <c r="A14" s="292"/>
      <c r="B14" s="293" t="s">
        <v>1118</v>
      </c>
      <c r="C14" s="311" t="s">
        <v>707</v>
      </c>
      <c r="D14" s="336">
        <v>630876.26</v>
      </c>
      <c r="E14" s="294"/>
    </row>
    <row r="15" spans="1:8" x14ac:dyDescent="0.2">
      <c r="A15" s="292"/>
      <c r="B15" s="293"/>
      <c r="C15" s="311" t="s">
        <v>290</v>
      </c>
      <c r="D15" s="336">
        <v>0</v>
      </c>
      <c r="E15" s="294"/>
    </row>
    <row r="16" spans="1:8" x14ac:dyDescent="0.2">
      <c r="A16" s="292"/>
      <c r="B16" s="293"/>
      <c r="C16" s="311" t="s">
        <v>291</v>
      </c>
      <c r="D16" s="336">
        <v>0</v>
      </c>
      <c r="E16" s="294"/>
    </row>
    <row r="17" spans="1:5" x14ac:dyDescent="0.2">
      <c r="A17" s="295"/>
      <c r="B17" s="296"/>
      <c r="C17" s="311" t="s">
        <v>292</v>
      </c>
      <c r="D17" s="336">
        <v>0</v>
      </c>
      <c r="E17" s="294"/>
    </row>
    <row r="18" spans="1:5" x14ac:dyDescent="0.2">
      <c r="A18" s="295"/>
      <c r="B18" s="296"/>
      <c r="C18" s="311" t="s">
        <v>293</v>
      </c>
      <c r="D18" s="336">
        <v>0</v>
      </c>
      <c r="E18" s="294"/>
    </row>
    <row r="19" spans="1:5" x14ac:dyDescent="0.2">
      <c r="A19" s="295"/>
      <c r="B19" s="296"/>
      <c r="C19" s="311"/>
      <c r="E19" s="294"/>
    </row>
    <row r="20" spans="1:5" x14ac:dyDescent="0.2">
      <c r="A20" s="295"/>
      <c r="B20" s="296"/>
      <c r="C20" s="311"/>
      <c r="E20" s="294"/>
    </row>
    <row r="21" spans="1:5" x14ac:dyDescent="0.2">
      <c r="A21" s="295"/>
      <c r="B21" s="296"/>
      <c r="C21" s="311"/>
      <c r="E21" s="294"/>
    </row>
    <row r="22" spans="1:5" x14ac:dyDescent="0.2">
      <c r="A22" s="295"/>
      <c r="B22" s="296"/>
      <c r="C22" s="311"/>
      <c r="E22" s="294"/>
    </row>
    <row r="23" spans="1:5" x14ac:dyDescent="0.2">
      <c r="A23" s="295"/>
      <c r="B23" s="296"/>
      <c r="C23" s="311"/>
      <c r="E23" s="294"/>
    </row>
    <row r="24" spans="1:5" x14ac:dyDescent="0.2">
      <c r="A24" s="295"/>
      <c r="B24" s="296"/>
      <c r="C24" s="311"/>
      <c r="E24" s="294"/>
    </row>
    <row r="25" spans="1:5" x14ac:dyDescent="0.2">
      <c r="A25" s="295"/>
      <c r="B25" s="296"/>
      <c r="C25" s="311"/>
      <c r="E25" s="294"/>
    </row>
    <row r="26" spans="1:5" x14ac:dyDescent="0.2">
      <c r="A26" s="295"/>
      <c r="B26" s="296"/>
      <c r="C26" s="311"/>
      <c r="E26" s="294"/>
    </row>
    <row r="27" spans="1:5" x14ac:dyDescent="0.2">
      <c r="A27" s="295"/>
      <c r="B27" s="296"/>
      <c r="C27" s="311"/>
      <c r="E27" s="294"/>
    </row>
    <row r="28" spans="1:5" x14ac:dyDescent="0.2">
      <c r="A28" s="295"/>
      <c r="B28" s="296"/>
      <c r="C28" s="311"/>
      <c r="E28" s="294"/>
    </row>
    <row r="29" spans="1:5" x14ac:dyDescent="0.2">
      <c r="A29" s="295"/>
      <c r="B29" s="296"/>
      <c r="C29" s="311"/>
      <c r="E29" s="294"/>
    </row>
    <row r="30" spans="1:5" x14ac:dyDescent="0.2">
      <c r="A30" s="295"/>
      <c r="B30" s="296"/>
      <c r="C30" s="311"/>
      <c r="E30" s="294"/>
    </row>
    <row r="31" spans="1:5" x14ac:dyDescent="0.2">
      <c r="A31" s="292"/>
      <c r="B31" s="293"/>
      <c r="C31" s="311"/>
      <c r="E31" s="294"/>
    </row>
    <row r="32" spans="1:5" x14ac:dyDescent="0.2">
      <c r="A32" s="292"/>
      <c r="B32" s="293"/>
      <c r="C32" s="311"/>
      <c r="E32" s="294"/>
    </row>
    <row r="33" spans="1:9" x14ac:dyDescent="0.2">
      <c r="A33" s="292"/>
      <c r="B33" s="293"/>
      <c r="C33" s="311"/>
      <c r="E33" s="294"/>
    </row>
    <row r="34" spans="1:9" x14ac:dyDescent="0.2">
      <c r="A34" s="292"/>
      <c r="B34" s="293"/>
      <c r="C34" s="311"/>
      <c r="E34" s="294"/>
    </row>
    <row r="35" spans="1:9" x14ac:dyDescent="0.2">
      <c r="A35" s="292"/>
      <c r="B35" s="293"/>
      <c r="C35" s="311"/>
      <c r="E35" s="294"/>
    </row>
    <row r="36" spans="1:9" x14ac:dyDescent="0.2">
      <c r="A36" s="292"/>
      <c r="B36" s="293"/>
      <c r="C36" s="311"/>
      <c r="E36" s="294"/>
    </row>
    <row r="37" spans="1:9" x14ac:dyDescent="0.2">
      <c r="A37" s="292"/>
      <c r="B37" s="293"/>
      <c r="C37" s="311"/>
      <c r="E37" s="294"/>
    </row>
    <row r="38" spans="1:9" x14ac:dyDescent="0.2">
      <c r="A38" s="292"/>
      <c r="B38" s="293"/>
      <c r="C38" s="311"/>
      <c r="E38" s="294"/>
    </row>
    <row r="39" spans="1:9" x14ac:dyDescent="0.2">
      <c r="A39" s="292"/>
      <c r="B39" s="293"/>
      <c r="C39" s="311"/>
      <c r="E39" s="294"/>
    </row>
    <row r="40" spans="1:9" x14ac:dyDescent="0.2">
      <c r="A40" s="292"/>
      <c r="B40" s="293"/>
      <c r="C40" s="311"/>
      <c r="E40" s="294"/>
    </row>
    <row r="41" spans="1:9" x14ac:dyDescent="0.2">
      <c r="A41" s="292"/>
      <c r="B41" s="293"/>
      <c r="C41" s="311"/>
      <c r="E41" s="294"/>
    </row>
    <row r="42" spans="1:9" x14ac:dyDescent="0.2">
      <c r="A42" s="292"/>
      <c r="B42" s="293"/>
      <c r="C42" s="311"/>
      <c r="E42" s="294"/>
    </row>
    <row r="43" spans="1:9" ht="15" x14ac:dyDescent="0.2">
      <c r="A43" s="297"/>
      <c r="B43" s="298"/>
      <c r="C43" s="454"/>
      <c r="D43" s="455"/>
      <c r="E43" s="299"/>
    </row>
    <row r="44" spans="1:9" x14ac:dyDescent="0.2">
      <c r="A44" s="300"/>
      <c r="B44" s="301"/>
      <c r="C44" s="286"/>
      <c r="E44" s="310"/>
    </row>
    <row r="45" spans="1:9" x14ac:dyDescent="0.2">
      <c r="A45" s="77"/>
      <c r="B45" s="77"/>
      <c r="C45" s="286"/>
      <c r="E45" s="53"/>
      <c r="F45" s="53"/>
      <c r="G45" s="77"/>
      <c r="H45" s="77"/>
      <c r="I45" s="77"/>
    </row>
    <row r="46" spans="1:9" x14ac:dyDescent="0.2">
      <c r="C46" s="286"/>
    </row>
    <row r="47" spans="1:9" x14ac:dyDescent="0.2">
      <c r="C47" s="286"/>
    </row>
    <row r="48" spans="1:9" x14ac:dyDescent="0.2">
      <c r="C48" s="286"/>
    </row>
    <row r="49" spans="3:3" x14ac:dyDescent="0.2">
      <c r="C49" s="286"/>
    </row>
    <row r="50" spans="3:3" x14ac:dyDescent="0.2">
      <c r="C50" s="286"/>
    </row>
    <row r="51" spans="3:3" x14ac:dyDescent="0.2">
      <c r="C51" s="286"/>
    </row>
    <row r="52" spans="3:3" x14ac:dyDescent="0.2">
      <c r="C52" s="286"/>
    </row>
    <row r="53" spans="3:3" x14ac:dyDescent="0.2">
      <c r="C53" s="286"/>
    </row>
    <row r="54" spans="3:3" x14ac:dyDescent="0.2">
      <c r="C54" s="286"/>
    </row>
    <row r="55" spans="3:3" x14ac:dyDescent="0.2">
      <c r="C55" s="286"/>
    </row>
    <row r="56" spans="3:3" x14ac:dyDescent="0.2">
      <c r="C56" s="286"/>
    </row>
    <row r="57" spans="3:3" x14ac:dyDescent="0.2">
      <c r="C57" s="286"/>
    </row>
    <row r="58" spans="3:3" x14ac:dyDescent="0.2">
      <c r="C58" s="286"/>
    </row>
    <row r="59" spans="3:3" x14ac:dyDescent="0.2">
      <c r="C59" s="286"/>
    </row>
    <row r="60" spans="3:3" x14ac:dyDescent="0.2">
      <c r="C60" s="286"/>
    </row>
    <row r="61" spans="3:3" x14ac:dyDescent="0.2">
      <c r="C61" s="286"/>
    </row>
    <row r="62" spans="3:3" x14ac:dyDescent="0.2">
      <c r="C62" s="286"/>
    </row>
    <row r="63" spans="3:3" x14ac:dyDescent="0.2">
      <c r="C63" s="286"/>
    </row>
    <row r="64" spans="3:3" x14ac:dyDescent="0.2">
      <c r="C64" s="286"/>
    </row>
    <row r="65" spans="3:3" x14ac:dyDescent="0.2">
      <c r="C65" s="286"/>
    </row>
    <row r="66" spans="3:3" x14ac:dyDescent="0.2">
      <c r="C66" s="286"/>
    </row>
    <row r="67" spans="3:3" x14ac:dyDescent="0.2">
      <c r="C67" s="286"/>
    </row>
    <row r="68" spans="3:3" x14ac:dyDescent="0.2">
      <c r="C68" s="286"/>
    </row>
    <row r="69" spans="3:3" x14ac:dyDescent="0.2">
      <c r="C69" s="286"/>
    </row>
    <row r="70" spans="3:3" x14ac:dyDescent="0.2">
      <c r="C70" s="286"/>
    </row>
    <row r="71" spans="3:3" x14ac:dyDescent="0.2">
      <c r="C71" s="286"/>
    </row>
    <row r="72" spans="3:3" x14ac:dyDescent="0.2">
      <c r="C72" s="286"/>
    </row>
    <row r="73" spans="3:3" x14ac:dyDescent="0.2">
      <c r="C73" s="286"/>
    </row>
    <row r="74" spans="3:3" x14ac:dyDescent="0.2">
      <c r="C74" s="286"/>
    </row>
    <row r="75" spans="3:3" x14ac:dyDescent="0.2">
      <c r="C75" s="286"/>
    </row>
    <row r="76" spans="3:3" x14ac:dyDescent="0.2">
      <c r="C76" s="286"/>
    </row>
    <row r="77" spans="3:3" x14ac:dyDescent="0.2">
      <c r="C77" s="286"/>
    </row>
    <row r="78" spans="3:3" x14ac:dyDescent="0.2">
      <c r="C78" s="286"/>
    </row>
    <row r="79" spans="3:3" x14ac:dyDescent="0.2">
      <c r="C79" s="286"/>
    </row>
    <row r="80" spans="3:3" x14ac:dyDescent="0.2">
      <c r="C80" s="286"/>
    </row>
    <row r="81" spans="3:3" x14ac:dyDescent="0.2">
      <c r="C81" s="286"/>
    </row>
    <row r="82" spans="3:3" x14ac:dyDescent="0.2">
      <c r="C82" s="286"/>
    </row>
    <row r="83" spans="3:3" x14ac:dyDescent="0.2">
      <c r="C83" s="286"/>
    </row>
    <row r="84" spans="3:3" x14ac:dyDescent="0.2">
      <c r="C84" s="286"/>
    </row>
    <row r="85" spans="3:3" x14ac:dyDescent="0.2">
      <c r="C85" s="286"/>
    </row>
    <row r="86" spans="3:3" x14ac:dyDescent="0.2">
      <c r="C86" s="286"/>
    </row>
    <row r="87" spans="3:3" x14ac:dyDescent="0.2">
      <c r="C87" s="286"/>
    </row>
    <row r="88" spans="3:3" x14ac:dyDescent="0.2">
      <c r="C88" s="286"/>
    </row>
    <row r="89" spans="3:3" x14ac:dyDescent="0.2">
      <c r="C89" s="286"/>
    </row>
    <row r="90" spans="3:3" x14ac:dyDescent="0.2">
      <c r="C90" s="286"/>
    </row>
    <row r="91" spans="3:3" x14ac:dyDescent="0.2">
      <c r="C91" s="286"/>
    </row>
    <row r="92" spans="3:3" x14ac:dyDescent="0.2">
      <c r="C92" s="286"/>
    </row>
    <row r="93" spans="3:3" x14ac:dyDescent="0.2">
      <c r="C93" s="286"/>
    </row>
    <row r="94" spans="3:3" x14ac:dyDescent="0.2">
      <c r="C94" s="286"/>
    </row>
    <row r="95" spans="3:3" x14ac:dyDescent="0.2">
      <c r="C95" s="286"/>
    </row>
    <row r="96" spans="3:3" x14ac:dyDescent="0.2">
      <c r="C96" s="286"/>
    </row>
    <row r="97" spans="3:3" x14ac:dyDescent="0.2">
      <c r="C97" s="286"/>
    </row>
    <row r="98" spans="3:3" x14ac:dyDescent="0.2">
      <c r="C98" s="286"/>
    </row>
    <row r="99" spans="3:3" x14ac:dyDescent="0.2">
      <c r="C99" s="286"/>
    </row>
    <row r="100" spans="3:3" x14ac:dyDescent="0.2">
      <c r="C100" s="286"/>
    </row>
    <row r="101" spans="3:3" x14ac:dyDescent="0.2">
      <c r="C101" s="286"/>
    </row>
    <row r="102" spans="3:3" x14ac:dyDescent="0.2">
      <c r="C102" s="286"/>
    </row>
    <row r="103" spans="3:3" x14ac:dyDescent="0.2">
      <c r="C103" s="286"/>
    </row>
    <row r="104" spans="3:3" x14ac:dyDescent="0.2">
      <c r="C104" s="286"/>
    </row>
    <row r="105" spans="3:3" x14ac:dyDescent="0.2">
      <c r="C105" s="286"/>
    </row>
    <row r="106" spans="3:3" x14ac:dyDescent="0.2">
      <c r="C106" s="286"/>
    </row>
    <row r="107" spans="3:3" x14ac:dyDescent="0.2">
      <c r="C107" s="286"/>
    </row>
    <row r="108" spans="3:3" x14ac:dyDescent="0.2">
      <c r="C108" s="286"/>
    </row>
    <row r="109" spans="3:3" x14ac:dyDescent="0.2">
      <c r="C109" s="286"/>
    </row>
    <row r="110" spans="3:3" x14ac:dyDescent="0.2">
      <c r="C110" s="286"/>
    </row>
    <row r="111" spans="3:3" x14ac:dyDescent="0.2">
      <c r="C111" s="286"/>
    </row>
    <row r="112" spans="3:3" x14ac:dyDescent="0.2">
      <c r="C112" s="286"/>
    </row>
    <row r="113" spans="3:3" x14ac:dyDescent="0.2">
      <c r="C113" s="286"/>
    </row>
    <row r="114" spans="3:3" x14ac:dyDescent="0.2">
      <c r="C114" s="286"/>
    </row>
    <row r="115" spans="3:3" x14ac:dyDescent="0.2">
      <c r="C115" s="286"/>
    </row>
    <row r="116" spans="3:3" x14ac:dyDescent="0.2">
      <c r="C116" s="286"/>
    </row>
    <row r="117" spans="3:3" x14ac:dyDescent="0.2">
      <c r="C117" s="286"/>
    </row>
    <row r="118" spans="3:3" x14ac:dyDescent="0.2">
      <c r="C118" s="286"/>
    </row>
    <row r="119" spans="3:3" x14ac:dyDescent="0.2">
      <c r="C119" s="286"/>
    </row>
    <row r="120" spans="3:3" x14ac:dyDescent="0.2">
      <c r="C120" s="286"/>
    </row>
    <row r="121" spans="3:3" x14ac:dyDescent="0.2">
      <c r="C121" s="286"/>
    </row>
    <row r="122" spans="3:3" x14ac:dyDescent="0.2">
      <c r="C122" s="286"/>
    </row>
    <row r="123" spans="3:3" x14ac:dyDescent="0.2">
      <c r="C123" s="286"/>
    </row>
    <row r="124" spans="3:3" x14ac:dyDescent="0.2">
      <c r="C124" s="286"/>
    </row>
    <row r="125" spans="3:3" x14ac:dyDescent="0.2">
      <c r="C125" s="286"/>
    </row>
    <row r="126" spans="3:3" x14ac:dyDescent="0.2">
      <c r="C126" s="286"/>
    </row>
    <row r="127" spans="3:3" x14ac:dyDescent="0.2">
      <c r="C127" s="286"/>
    </row>
    <row r="128" spans="3:3" x14ac:dyDescent="0.2">
      <c r="C128" s="286"/>
    </row>
    <row r="129" spans="3:3" x14ac:dyDescent="0.2">
      <c r="C129" s="286"/>
    </row>
    <row r="130" spans="3:3" x14ac:dyDescent="0.2">
      <c r="C130" s="286"/>
    </row>
    <row r="131" spans="3:3" x14ac:dyDescent="0.2">
      <c r="C131" s="286"/>
    </row>
    <row r="132" spans="3:3" x14ac:dyDescent="0.2">
      <c r="C132" s="286"/>
    </row>
    <row r="133" spans="3:3" x14ac:dyDescent="0.2">
      <c r="C133" s="286"/>
    </row>
    <row r="134" spans="3:3" x14ac:dyDescent="0.2">
      <c r="C134" s="286"/>
    </row>
    <row r="135" spans="3:3" x14ac:dyDescent="0.2">
      <c r="C135" s="286"/>
    </row>
    <row r="136" spans="3:3" x14ac:dyDescent="0.2">
      <c r="C136" s="286"/>
    </row>
    <row r="137" spans="3:3" x14ac:dyDescent="0.2">
      <c r="C137" s="286"/>
    </row>
    <row r="138" spans="3:3" x14ac:dyDescent="0.2">
      <c r="C138" s="286"/>
    </row>
    <row r="139" spans="3:3" x14ac:dyDescent="0.2">
      <c r="C139" s="286"/>
    </row>
    <row r="140" spans="3:3" x14ac:dyDescent="0.2">
      <c r="C140" s="286"/>
    </row>
    <row r="141" spans="3:3" x14ac:dyDescent="0.2">
      <c r="C141" s="286"/>
    </row>
    <row r="142" spans="3:3" x14ac:dyDescent="0.2">
      <c r="C142" s="286"/>
    </row>
    <row r="143" spans="3:3" x14ac:dyDescent="0.2">
      <c r="C143" s="286"/>
    </row>
    <row r="144" spans="3:3" x14ac:dyDescent="0.2">
      <c r="C144" s="286"/>
    </row>
    <row r="145" spans="3:3" x14ac:dyDescent="0.2">
      <c r="C145" s="286"/>
    </row>
    <row r="146" spans="3:3" x14ac:dyDescent="0.2">
      <c r="C146" s="286"/>
    </row>
    <row r="147" spans="3:3" x14ac:dyDescent="0.2">
      <c r="C147" s="286"/>
    </row>
    <row r="148" spans="3:3" x14ac:dyDescent="0.2">
      <c r="C148" s="286"/>
    </row>
    <row r="149" spans="3:3" x14ac:dyDescent="0.2">
      <c r="C149" s="286"/>
    </row>
    <row r="150" spans="3:3" x14ac:dyDescent="0.2">
      <c r="C150" s="286"/>
    </row>
  </sheetData>
  <mergeCells count="5"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  <ignoredErrors>
    <ignoredError sqref="D9 D12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3" sqref="B3:D3"/>
    </sheetView>
  </sheetViews>
  <sheetFormatPr baseColWidth="10" defaultRowHeight="12" x14ac:dyDescent="0.2"/>
  <cols>
    <col min="1" max="1" width="3.140625" style="309" customWidth="1"/>
    <col min="2" max="2" width="46.5703125" style="309" customWidth="1"/>
    <col min="3" max="3" width="19.85546875" style="309" customWidth="1"/>
    <col min="4" max="4" width="19.7109375" style="309" customWidth="1"/>
    <col min="5" max="5" width="5.140625" style="303" customWidth="1"/>
    <col min="6" max="16384" width="11.42578125" style="309"/>
  </cols>
  <sheetData>
    <row r="1" spans="1:4" ht="12.75" thickBot="1" x14ac:dyDescent="0.25">
      <c r="A1" s="303"/>
      <c r="B1" s="303"/>
      <c r="C1" s="303"/>
      <c r="D1" s="303"/>
    </row>
    <row r="2" spans="1:4" x14ac:dyDescent="0.2">
      <c r="A2" s="303"/>
      <c r="B2" s="681" t="s">
        <v>1264</v>
      </c>
      <c r="C2" s="682"/>
      <c r="D2" s="683"/>
    </row>
    <row r="3" spans="1:4" x14ac:dyDescent="0.2">
      <c r="A3" s="303"/>
      <c r="B3" s="684" t="str">
        <f>BALANZA!Q6</f>
        <v>EL COLEGIO DE TLAXCALA, A.C.</v>
      </c>
      <c r="C3" s="685"/>
      <c r="D3" s="686"/>
    </row>
    <row r="4" spans="1:4" ht="15.75" customHeight="1" thickBot="1" x14ac:dyDescent="0.25">
      <c r="A4" s="303"/>
      <c r="B4" s="687" t="s">
        <v>1015</v>
      </c>
      <c r="C4" s="688"/>
      <c r="D4" s="689"/>
    </row>
    <row r="5" spans="1:4" x14ac:dyDescent="0.2">
      <c r="A5" s="303"/>
      <c r="B5" s="690" t="s">
        <v>1016</v>
      </c>
      <c r="C5" s="692" t="s">
        <v>1017</v>
      </c>
      <c r="D5" s="693"/>
    </row>
    <row r="6" spans="1:4" ht="12.75" thickBot="1" x14ac:dyDescent="0.25">
      <c r="A6" s="303"/>
      <c r="B6" s="691"/>
      <c r="C6" s="304" t="s">
        <v>1018</v>
      </c>
      <c r="D6" s="305" t="s">
        <v>1019</v>
      </c>
    </row>
    <row r="7" spans="1:4" x14ac:dyDescent="0.2">
      <c r="A7" s="303"/>
      <c r="B7" s="306" t="s">
        <v>1027</v>
      </c>
      <c r="C7" s="306" t="s">
        <v>1024</v>
      </c>
      <c r="D7" s="306">
        <v>103744507</v>
      </c>
    </row>
    <row r="8" spans="1:4" x14ac:dyDescent="0.2">
      <c r="A8" s="303"/>
      <c r="B8" s="307" t="s">
        <v>1026</v>
      </c>
      <c r="C8" s="307" t="s">
        <v>1024</v>
      </c>
      <c r="D8" s="307">
        <v>103744442</v>
      </c>
    </row>
    <row r="9" spans="1:4" x14ac:dyDescent="0.2">
      <c r="A9" s="303"/>
      <c r="B9" s="307" t="s">
        <v>1261</v>
      </c>
      <c r="C9" s="307" t="s">
        <v>1024</v>
      </c>
      <c r="D9" s="307">
        <v>103744248</v>
      </c>
    </row>
    <row r="10" spans="1:4" x14ac:dyDescent="0.2">
      <c r="A10" s="303"/>
      <c r="B10" s="307" t="s">
        <v>1028</v>
      </c>
      <c r="C10" s="307" t="s">
        <v>1025</v>
      </c>
      <c r="D10" s="307">
        <v>155764822</v>
      </c>
    </row>
    <row r="11" spans="1:4" x14ac:dyDescent="0.2">
      <c r="A11" s="303"/>
      <c r="B11" s="307" t="s">
        <v>1029</v>
      </c>
      <c r="C11" s="307" t="s">
        <v>1024</v>
      </c>
      <c r="D11" s="307">
        <v>192002892</v>
      </c>
    </row>
    <row r="12" spans="1:4" x14ac:dyDescent="0.2">
      <c r="A12" s="303"/>
      <c r="B12" s="475" t="s">
        <v>1131</v>
      </c>
      <c r="C12" s="475" t="s">
        <v>1024</v>
      </c>
      <c r="D12" s="475">
        <v>199152008</v>
      </c>
    </row>
    <row r="13" spans="1:4" x14ac:dyDescent="0.2">
      <c r="A13" s="303"/>
      <c r="B13" s="475" t="s">
        <v>1132</v>
      </c>
      <c r="C13" s="475" t="s">
        <v>1024</v>
      </c>
      <c r="D13" s="475">
        <v>199424296</v>
      </c>
    </row>
    <row r="14" spans="1:4" x14ac:dyDescent="0.2">
      <c r="A14" s="303"/>
      <c r="B14" s="307" t="s">
        <v>1262</v>
      </c>
      <c r="C14" s="307" t="s">
        <v>1024</v>
      </c>
      <c r="D14" s="307">
        <v>199663282</v>
      </c>
    </row>
    <row r="15" spans="1:4" x14ac:dyDescent="0.2">
      <c r="A15" s="303"/>
      <c r="B15" s="475" t="s">
        <v>1241</v>
      </c>
      <c r="C15" s="475" t="s">
        <v>1024</v>
      </c>
      <c r="D15" s="475">
        <v>101698672</v>
      </c>
    </row>
    <row r="16" spans="1:4" x14ac:dyDescent="0.2">
      <c r="A16" s="303"/>
      <c r="B16" s="475" t="s">
        <v>1263</v>
      </c>
      <c r="C16" s="475" t="s">
        <v>1024</v>
      </c>
      <c r="D16" s="475">
        <v>101826239</v>
      </c>
    </row>
    <row r="17" spans="1:4" x14ac:dyDescent="0.2">
      <c r="A17" s="303"/>
      <c r="B17" s="475"/>
      <c r="C17" s="475"/>
      <c r="D17" s="475"/>
    </row>
    <row r="18" spans="1:4" x14ac:dyDescent="0.2">
      <c r="A18" s="303"/>
      <c r="B18" s="308"/>
      <c r="C18" s="308"/>
      <c r="D18" s="308"/>
    </row>
    <row r="19" spans="1:4" x14ac:dyDescent="0.2">
      <c r="A19" s="303"/>
      <c r="B19" s="303"/>
      <c r="C19" s="303"/>
      <c r="D19" s="303"/>
    </row>
    <row r="20" spans="1:4" x14ac:dyDescent="0.2">
      <c r="A20" s="303"/>
      <c r="B20" s="303"/>
      <c r="C20" s="303"/>
      <c r="D20" s="303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7"/>
  <sheetViews>
    <sheetView workbookViewId="0">
      <selection activeCell="B3" sqref="B3:E3"/>
    </sheetView>
  </sheetViews>
  <sheetFormatPr baseColWidth="10" defaultRowHeight="12" x14ac:dyDescent="0.2"/>
  <cols>
    <col min="1" max="1" width="4.85546875" style="281" customWidth="1"/>
    <col min="2" max="2" width="30.85546875" style="281" customWidth="1"/>
    <col min="3" max="3" width="84.42578125" style="281" customWidth="1"/>
    <col min="4" max="4" width="31.7109375" style="281" customWidth="1"/>
    <col min="5" max="5" width="4.85546875" style="281" customWidth="1"/>
    <col min="6" max="256" width="11.42578125" style="281"/>
    <col min="257" max="257" width="4.85546875" style="281" customWidth="1"/>
    <col min="258" max="258" width="30.85546875" style="281" customWidth="1"/>
    <col min="259" max="259" width="84.42578125" style="281" customWidth="1"/>
    <col min="260" max="260" width="42.7109375" style="281" customWidth="1"/>
    <col min="261" max="261" width="4.85546875" style="281" customWidth="1"/>
    <col min="262" max="512" width="11.42578125" style="281"/>
    <col min="513" max="513" width="4.85546875" style="281" customWidth="1"/>
    <col min="514" max="514" width="30.85546875" style="281" customWidth="1"/>
    <col min="515" max="515" width="84.42578125" style="281" customWidth="1"/>
    <col min="516" max="516" width="42.7109375" style="281" customWidth="1"/>
    <col min="517" max="517" width="4.85546875" style="281" customWidth="1"/>
    <col min="518" max="768" width="11.42578125" style="281"/>
    <col min="769" max="769" width="4.85546875" style="281" customWidth="1"/>
    <col min="770" max="770" width="30.85546875" style="281" customWidth="1"/>
    <col min="771" max="771" width="84.42578125" style="281" customWidth="1"/>
    <col min="772" max="772" width="42.7109375" style="281" customWidth="1"/>
    <col min="773" max="773" width="4.85546875" style="281" customWidth="1"/>
    <col min="774" max="1024" width="11.42578125" style="281"/>
    <col min="1025" max="1025" width="4.85546875" style="281" customWidth="1"/>
    <col min="1026" max="1026" width="30.85546875" style="281" customWidth="1"/>
    <col min="1027" max="1027" width="84.42578125" style="281" customWidth="1"/>
    <col min="1028" max="1028" width="42.7109375" style="281" customWidth="1"/>
    <col min="1029" max="1029" width="4.85546875" style="281" customWidth="1"/>
    <col min="1030" max="1280" width="11.42578125" style="281"/>
    <col min="1281" max="1281" width="4.85546875" style="281" customWidth="1"/>
    <col min="1282" max="1282" width="30.85546875" style="281" customWidth="1"/>
    <col min="1283" max="1283" width="84.42578125" style="281" customWidth="1"/>
    <col min="1284" max="1284" width="42.7109375" style="281" customWidth="1"/>
    <col min="1285" max="1285" width="4.85546875" style="281" customWidth="1"/>
    <col min="1286" max="1536" width="11.42578125" style="281"/>
    <col min="1537" max="1537" width="4.85546875" style="281" customWidth="1"/>
    <col min="1538" max="1538" width="30.85546875" style="281" customWidth="1"/>
    <col min="1539" max="1539" width="84.42578125" style="281" customWidth="1"/>
    <col min="1540" max="1540" width="42.7109375" style="281" customWidth="1"/>
    <col min="1541" max="1541" width="4.85546875" style="281" customWidth="1"/>
    <col min="1542" max="1792" width="11.42578125" style="281"/>
    <col min="1793" max="1793" width="4.85546875" style="281" customWidth="1"/>
    <col min="1794" max="1794" width="30.85546875" style="281" customWidth="1"/>
    <col min="1795" max="1795" width="84.42578125" style="281" customWidth="1"/>
    <col min="1796" max="1796" width="42.7109375" style="281" customWidth="1"/>
    <col min="1797" max="1797" width="4.85546875" style="281" customWidth="1"/>
    <col min="1798" max="2048" width="11.42578125" style="281"/>
    <col min="2049" max="2049" width="4.85546875" style="281" customWidth="1"/>
    <col min="2050" max="2050" width="30.85546875" style="281" customWidth="1"/>
    <col min="2051" max="2051" width="84.42578125" style="281" customWidth="1"/>
    <col min="2052" max="2052" width="42.7109375" style="281" customWidth="1"/>
    <col min="2053" max="2053" width="4.85546875" style="281" customWidth="1"/>
    <col min="2054" max="2304" width="11.42578125" style="281"/>
    <col min="2305" max="2305" width="4.85546875" style="281" customWidth="1"/>
    <col min="2306" max="2306" width="30.85546875" style="281" customWidth="1"/>
    <col min="2307" max="2307" width="84.42578125" style="281" customWidth="1"/>
    <col min="2308" max="2308" width="42.7109375" style="281" customWidth="1"/>
    <col min="2309" max="2309" width="4.85546875" style="281" customWidth="1"/>
    <col min="2310" max="2560" width="11.42578125" style="281"/>
    <col min="2561" max="2561" width="4.85546875" style="281" customWidth="1"/>
    <col min="2562" max="2562" width="30.85546875" style="281" customWidth="1"/>
    <col min="2563" max="2563" width="84.42578125" style="281" customWidth="1"/>
    <col min="2564" max="2564" width="42.7109375" style="281" customWidth="1"/>
    <col min="2565" max="2565" width="4.85546875" style="281" customWidth="1"/>
    <col min="2566" max="2816" width="11.42578125" style="281"/>
    <col min="2817" max="2817" width="4.85546875" style="281" customWidth="1"/>
    <col min="2818" max="2818" width="30.85546875" style="281" customWidth="1"/>
    <col min="2819" max="2819" width="84.42578125" style="281" customWidth="1"/>
    <col min="2820" max="2820" width="42.7109375" style="281" customWidth="1"/>
    <col min="2821" max="2821" width="4.85546875" style="281" customWidth="1"/>
    <col min="2822" max="3072" width="11.42578125" style="281"/>
    <col min="3073" max="3073" width="4.85546875" style="281" customWidth="1"/>
    <col min="3074" max="3074" width="30.85546875" style="281" customWidth="1"/>
    <col min="3075" max="3075" width="84.42578125" style="281" customWidth="1"/>
    <col min="3076" max="3076" width="42.7109375" style="281" customWidth="1"/>
    <col min="3077" max="3077" width="4.85546875" style="281" customWidth="1"/>
    <col min="3078" max="3328" width="11.42578125" style="281"/>
    <col min="3329" max="3329" width="4.85546875" style="281" customWidth="1"/>
    <col min="3330" max="3330" width="30.85546875" style="281" customWidth="1"/>
    <col min="3331" max="3331" width="84.42578125" style="281" customWidth="1"/>
    <col min="3332" max="3332" width="42.7109375" style="281" customWidth="1"/>
    <col min="3333" max="3333" width="4.85546875" style="281" customWidth="1"/>
    <col min="3334" max="3584" width="11.42578125" style="281"/>
    <col min="3585" max="3585" width="4.85546875" style="281" customWidth="1"/>
    <col min="3586" max="3586" width="30.85546875" style="281" customWidth="1"/>
    <col min="3587" max="3587" width="84.42578125" style="281" customWidth="1"/>
    <col min="3588" max="3588" width="42.7109375" style="281" customWidth="1"/>
    <col min="3589" max="3589" width="4.85546875" style="281" customWidth="1"/>
    <col min="3590" max="3840" width="11.42578125" style="281"/>
    <col min="3841" max="3841" width="4.85546875" style="281" customWidth="1"/>
    <col min="3842" max="3842" width="30.85546875" style="281" customWidth="1"/>
    <col min="3843" max="3843" width="84.42578125" style="281" customWidth="1"/>
    <col min="3844" max="3844" width="42.7109375" style="281" customWidth="1"/>
    <col min="3845" max="3845" width="4.85546875" style="281" customWidth="1"/>
    <col min="3846" max="4096" width="11.42578125" style="281"/>
    <col min="4097" max="4097" width="4.85546875" style="281" customWidth="1"/>
    <col min="4098" max="4098" width="30.85546875" style="281" customWidth="1"/>
    <col min="4099" max="4099" width="84.42578125" style="281" customWidth="1"/>
    <col min="4100" max="4100" width="42.7109375" style="281" customWidth="1"/>
    <col min="4101" max="4101" width="4.85546875" style="281" customWidth="1"/>
    <col min="4102" max="4352" width="11.42578125" style="281"/>
    <col min="4353" max="4353" width="4.85546875" style="281" customWidth="1"/>
    <col min="4354" max="4354" width="30.85546875" style="281" customWidth="1"/>
    <col min="4355" max="4355" width="84.42578125" style="281" customWidth="1"/>
    <col min="4356" max="4356" width="42.7109375" style="281" customWidth="1"/>
    <col min="4357" max="4357" width="4.85546875" style="281" customWidth="1"/>
    <col min="4358" max="4608" width="11.42578125" style="281"/>
    <col min="4609" max="4609" width="4.85546875" style="281" customWidth="1"/>
    <col min="4610" max="4610" width="30.85546875" style="281" customWidth="1"/>
    <col min="4611" max="4611" width="84.42578125" style="281" customWidth="1"/>
    <col min="4612" max="4612" width="42.7109375" style="281" customWidth="1"/>
    <col min="4613" max="4613" width="4.85546875" style="281" customWidth="1"/>
    <col min="4614" max="4864" width="11.42578125" style="281"/>
    <col min="4865" max="4865" width="4.85546875" style="281" customWidth="1"/>
    <col min="4866" max="4866" width="30.85546875" style="281" customWidth="1"/>
    <col min="4867" max="4867" width="84.42578125" style="281" customWidth="1"/>
    <col min="4868" max="4868" width="42.7109375" style="281" customWidth="1"/>
    <col min="4869" max="4869" width="4.85546875" style="281" customWidth="1"/>
    <col min="4870" max="5120" width="11.42578125" style="281"/>
    <col min="5121" max="5121" width="4.85546875" style="281" customWidth="1"/>
    <col min="5122" max="5122" width="30.85546875" style="281" customWidth="1"/>
    <col min="5123" max="5123" width="84.42578125" style="281" customWidth="1"/>
    <col min="5124" max="5124" width="42.7109375" style="281" customWidth="1"/>
    <col min="5125" max="5125" width="4.85546875" style="281" customWidth="1"/>
    <col min="5126" max="5376" width="11.42578125" style="281"/>
    <col min="5377" max="5377" width="4.85546875" style="281" customWidth="1"/>
    <col min="5378" max="5378" width="30.85546875" style="281" customWidth="1"/>
    <col min="5379" max="5379" width="84.42578125" style="281" customWidth="1"/>
    <col min="5380" max="5380" width="42.7109375" style="281" customWidth="1"/>
    <col min="5381" max="5381" width="4.85546875" style="281" customWidth="1"/>
    <col min="5382" max="5632" width="11.42578125" style="281"/>
    <col min="5633" max="5633" width="4.85546875" style="281" customWidth="1"/>
    <col min="5634" max="5634" width="30.85546875" style="281" customWidth="1"/>
    <col min="5635" max="5635" width="84.42578125" style="281" customWidth="1"/>
    <col min="5636" max="5636" width="42.7109375" style="281" customWidth="1"/>
    <col min="5637" max="5637" width="4.85546875" style="281" customWidth="1"/>
    <col min="5638" max="5888" width="11.42578125" style="281"/>
    <col min="5889" max="5889" width="4.85546875" style="281" customWidth="1"/>
    <col min="5890" max="5890" width="30.85546875" style="281" customWidth="1"/>
    <col min="5891" max="5891" width="84.42578125" style="281" customWidth="1"/>
    <col min="5892" max="5892" width="42.7109375" style="281" customWidth="1"/>
    <col min="5893" max="5893" width="4.85546875" style="281" customWidth="1"/>
    <col min="5894" max="6144" width="11.42578125" style="281"/>
    <col min="6145" max="6145" width="4.85546875" style="281" customWidth="1"/>
    <col min="6146" max="6146" width="30.85546875" style="281" customWidth="1"/>
    <col min="6147" max="6147" width="84.42578125" style="281" customWidth="1"/>
    <col min="6148" max="6148" width="42.7109375" style="281" customWidth="1"/>
    <col min="6149" max="6149" width="4.85546875" style="281" customWidth="1"/>
    <col min="6150" max="6400" width="11.42578125" style="281"/>
    <col min="6401" max="6401" width="4.85546875" style="281" customWidth="1"/>
    <col min="6402" max="6402" width="30.85546875" style="281" customWidth="1"/>
    <col min="6403" max="6403" width="84.42578125" style="281" customWidth="1"/>
    <col min="6404" max="6404" width="42.7109375" style="281" customWidth="1"/>
    <col min="6405" max="6405" width="4.85546875" style="281" customWidth="1"/>
    <col min="6406" max="6656" width="11.42578125" style="281"/>
    <col min="6657" max="6657" width="4.85546875" style="281" customWidth="1"/>
    <col min="6658" max="6658" width="30.85546875" style="281" customWidth="1"/>
    <col min="6659" max="6659" width="84.42578125" style="281" customWidth="1"/>
    <col min="6660" max="6660" width="42.7109375" style="281" customWidth="1"/>
    <col min="6661" max="6661" width="4.85546875" style="281" customWidth="1"/>
    <col min="6662" max="6912" width="11.42578125" style="281"/>
    <col min="6913" max="6913" width="4.85546875" style="281" customWidth="1"/>
    <col min="6914" max="6914" width="30.85546875" style="281" customWidth="1"/>
    <col min="6915" max="6915" width="84.42578125" style="281" customWidth="1"/>
    <col min="6916" max="6916" width="42.7109375" style="281" customWidth="1"/>
    <col min="6917" max="6917" width="4.85546875" style="281" customWidth="1"/>
    <col min="6918" max="7168" width="11.42578125" style="281"/>
    <col min="7169" max="7169" width="4.85546875" style="281" customWidth="1"/>
    <col min="7170" max="7170" width="30.85546875" style="281" customWidth="1"/>
    <col min="7171" max="7171" width="84.42578125" style="281" customWidth="1"/>
    <col min="7172" max="7172" width="42.7109375" style="281" customWidth="1"/>
    <col min="7173" max="7173" width="4.85546875" style="281" customWidth="1"/>
    <col min="7174" max="7424" width="11.42578125" style="281"/>
    <col min="7425" max="7425" width="4.85546875" style="281" customWidth="1"/>
    <col min="7426" max="7426" width="30.85546875" style="281" customWidth="1"/>
    <col min="7427" max="7427" width="84.42578125" style="281" customWidth="1"/>
    <col min="7428" max="7428" width="42.7109375" style="281" customWidth="1"/>
    <col min="7429" max="7429" width="4.85546875" style="281" customWidth="1"/>
    <col min="7430" max="7680" width="11.42578125" style="281"/>
    <col min="7681" max="7681" width="4.85546875" style="281" customWidth="1"/>
    <col min="7682" max="7682" width="30.85546875" style="281" customWidth="1"/>
    <col min="7683" max="7683" width="84.42578125" style="281" customWidth="1"/>
    <col min="7684" max="7684" width="42.7109375" style="281" customWidth="1"/>
    <col min="7685" max="7685" width="4.85546875" style="281" customWidth="1"/>
    <col min="7686" max="7936" width="11.42578125" style="281"/>
    <col min="7937" max="7937" width="4.85546875" style="281" customWidth="1"/>
    <col min="7938" max="7938" width="30.85546875" style="281" customWidth="1"/>
    <col min="7939" max="7939" width="84.42578125" style="281" customWidth="1"/>
    <col min="7940" max="7940" width="42.7109375" style="281" customWidth="1"/>
    <col min="7941" max="7941" width="4.85546875" style="281" customWidth="1"/>
    <col min="7942" max="8192" width="11.42578125" style="281"/>
    <col min="8193" max="8193" width="4.85546875" style="281" customWidth="1"/>
    <col min="8194" max="8194" width="30.85546875" style="281" customWidth="1"/>
    <col min="8195" max="8195" width="84.42578125" style="281" customWidth="1"/>
    <col min="8196" max="8196" width="42.7109375" style="281" customWidth="1"/>
    <col min="8197" max="8197" width="4.85546875" style="281" customWidth="1"/>
    <col min="8198" max="8448" width="11.42578125" style="281"/>
    <col min="8449" max="8449" width="4.85546875" style="281" customWidth="1"/>
    <col min="8450" max="8450" width="30.85546875" style="281" customWidth="1"/>
    <col min="8451" max="8451" width="84.42578125" style="281" customWidth="1"/>
    <col min="8452" max="8452" width="42.7109375" style="281" customWidth="1"/>
    <col min="8453" max="8453" width="4.85546875" style="281" customWidth="1"/>
    <col min="8454" max="8704" width="11.42578125" style="281"/>
    <col min="8705" max="8705" width="4.85546875" style="281" customWidth="1"/>
    <col min="8706" max="8706" width="30.85546875" style="281" customWidth="1"/>
    <col min="8707" max="8707" width="84.42578125" style="281" customWidth="1"/>
    <col min="8708" max="8708" width="42.7109375" style="281" customWidth="1"/>
    <col min="8709" max="8709" width="4.85546875" style="281" customWidth="1"/>
    <col min="8710" max="8960" width="11.42578125" style="281"/>
    <col min="8961" max="8961" width="4.85546875" style="281" customWidth="1"/>
    <col min="8962" max="8962" width="30.85546875" style="281" customWidth="1"/>
    <col min="8963" max="8963" width="84.42578125" style="281" customWidth="1"/>
    <col min="8964" max="8964" width="42.7109375" style="281" customWidth="1"/>
    <col min="8965" max="8965" width="4.85546875" style="281" customWidth="1"/>
    <col min="8966" max="9216" width="11.42578125" style="281"/>
    <col min="9217" max="9217" width="4.85546875" style="281" customWidth="1"/>
    <col min="9218" max="9218" width="30.85546875" style="281" customWidth="1"/>
    <col min="9219" max="9219" width="84.42578125" style="281" customWidth="1"/>
    <col min="9220" max="9220" width="42.7109375" style="281" customWidth="1"/>
    <col min="9221" max="9221" width="4.85546875" style="281" customWidth="1"/>
    <col min="9222" max="9472" width="11.42578125" style="281"/>
    <col min="9473" max="9473" width="4.85546875" style="281" customWidth="1"/>
    <col min="9474" max="9474" width="30.85546875" style="281" customWidth="1"/>
    <col min="9475" max="9475" width="84.42578125" style="281" customWidth="1"/>
    <col min="9476" max="9476" width="42.7109375" style="281" customWidth="1"/>
    <col min="9477" max="9477" width="4.85546875" style="281" customWidth="1"/>
    <col min="9478" max="9728" width="11.42578125" style="281"/>
    <col min="9729" max="9729" width="4.85546875" style="281" customWidth="1"/>
    <col min="9730" max="9730" width="30.85546875" style="281" customWidth="1"/>
    <col min="9731" max="9731" width="84.42578125" style="281" customWidth="1"/>
    <col min="9732" max="9732" width="42.7109375" style="281" customWidth="1"/>
    <col min="9733" max="9733" width="4.85546875" style="281" customWidth="1"/>
    <col min="9734" max="9984" width="11.42578125" style="281"/>
    <col min="9985" max="9985" width="4.85546875" style="281" customWidth="1"/>
    <col min="9986" max="9986" width="30.85546875" style="281" customWidth="1"/>
    <col min="9987" max="9987" width="84.42578125" style="281" customWidth="1"/>
    <col min="9988" max="9988" width="42.7109375" style="281" customWidth="1"/>
    <col min="9989" max="9989" width="4.85546875" style="281" customWidth="1"/>
    <col min="9990" max="10240" width="11.42578125" style="281"/>
    <col min="10241" max="10241" width="4.85546875" style="281" customWidth="1"/>
    <col min="10242" max="10242" width="30.85546875" style="281" customWidth="1"/>
    <col min="10243" max="10243" width="84.42578125" style="281" customWidth="1"/>
    <col min="10244" max="10244" width="42.7109375" style="281" customWidth="1"/>
    <col min="10245" max="10245" width="4.85546875" style="281" customWidth="1"/>
    <col min="10246" max="10496" width="11.42578125" style="281"/>
    <col min="10497" max="10497" width="4.85546875" style="281" customWidth="1"/>
    <col min="10498" max="10498" width="30.85546875" style="281" customWidth="1"/>
    <col min="10499" max="10499" width="84.42578125" style="281" customWidth="1"/>
    <col min="10500" max="10500" width="42.7109375" style="281" customWidth="1"/>
    <col min="10501" max="10501" width="4.85546875" style="281" customWidth="1"/>
    <col min="10502" max="10752" width="11.42578125" style="281"/>
    <col min="10753" max="10753" width="4.85546875" style="281" customWidth="1"/>
    <col min="10754" max="10754" width="30.85546875" style="281" customWidth="1"/>
    <col min="10755" max="10755" width="84.42578125" style="281" customWidth="1"/>
    <col min="10756" max="10756" width="42.7109375" style="281" customWidth="1"/>
    <col min="10757" max="10757" width="4.85546875" style="281" customWidth="1"/>
    <col min="10758" max="11008" width="11.42578125" style="281"/>
    <col min="11009" max="11009" width="4.85546875" style="281" customWidth="1"/>
    <col min="11010" max="11010" width="30.85546875" style="281" customWidth="1"/>
    <col min="11011" max="11011" width="84.42578125" style="281" customWidth="1"/>
    <col min="11012" max="11012" width="42.7109375" style="281" customWidth="1"/>
    <col min="11013" max="11013" width="4.85546875" style="281" customWidth="1"/>
    <col min="11014" max="11264" width="11.42578125" style="281"/>
    <col min="11265" max="11265" width="4.85546875" style="281" customWidth="1"/>
    <col min="11266" max="11266" width="30.85546875" style="281" customWidth="1"/>
    <col min="11267" max="11267" width="84.42578125" style="281" customWidth="1"/>
    <col min="11268" max="11268" width="42.7109375" style="281" customWidth="1"/>
    <col min="11269" max="11269" width="4.85546875" style="281" customWidth="1"/>
    <col min="11270" max="11520" width="11.42578125" style="281"/>
    <col min="11521" max="11521" width="4.85546875" style="281" customWidth="1"/>
    <col min="11522" max="11522" width="30.85546875" style="281" customWidth="1"/>
    <col min="11523" max="11523" width="84.42578125" style="281" customWidth="1"/>
    <col min="11524" max="11524" width="42.7109375" style="281" customWidth="1"/>
    <col min="11525" max="11525" width="4.85546875" style="281" customWidth="1"/>
    <col min="11526" max="11776" width="11.42578125" style="281"/>
    <col min="11777" max="11777" width="4.85546875" style="281" customWidth="1"/>
    <col min="11778" max="11778" width="30.85546875" style="281" customWidth="1"/>
    <col min="11779" max="11779" width="84.42578125" style="281" customWidth="1"/>
    <col min="11780" max="11780" width="42.7109375" style="281" customWidth="1"/>
    <col min="11781" max="11781" width="4.85546875" style="281" customWidth="1"/>
    <col min="11782" max="12032" width="11.42578125" style="281"/>
    <col min="12033" max="12033" width="4.85546875" style="281" customWidth="1"/>
    <col min="12034" max="12034" width="30.85546875" style="281" customWidth="1"/>
    <col min="12035" max="12035" width="84.42578125" style="281" customWidth="1"/>
    <col min="12036" max="12036" width="42.7109375" style="281" customWidth="1"/>
    <col min="12037" max="12037" width="4.85546875" style="281" customWidth="1"/>
    <col min="12038" max="12288" width="11.42578125" style="281"/>
    <col min="12289" max="12289" width="4.85546875" style="281" customWidth="1"/>
    <col min="12290" max="12290" width="30.85546875" style="281" customWidth="1"/>
    <col min="12291" max="12291" width="84.42578125" style="281" customWidth="1"/>
    <col min="12292" max="12292" width="42.7109375" style="281" customWidth="1"/>
    <col min="12293" max="12293" width="4.85546875" style="281" customWidth="1"/>
    <col min="12294" max="12544" width="11.42578125" style="281"/>
    <col min="12545" max="12545" width="4.85546875" style="281" customWidth="1"/>
    <col min="12546" max="12546" width="30.85546875" style="281" customWidth="1"/>
    <col min="12547" max="12547" width="84.42578125" style="281" customWidth="1"/>
    <col min="12548" max="12548" width="42.7109375" style="281" customWidth="1"/>
    <col min="12549" max="12549" width="4.85546875" style="281" customWidth="1"/>
    <col min="12550" max="12800" width="11.42578125" style="281"/>
    <col min="12801" max="12801" width="4.85546875" style="281" customWidth="1"/>
    <col min="12802" max="12802" width="30.85546875" style="281" customWidth="1"/>
    <col min="12803" max="12803" width="84.42578125" style="281" customWidth="1"/>
    <col min="12804" max="12804" width="42.7109375" style="281" customWidth="1"/>
    <col min="12805" max="12805" width="4.85546875" style="281" customWidth="1"/>
    <col min="12806" max="13056" width="11.42578125" style="281"/>
    <col min="13057" max="13057" width="4.85546875" style="281" customWidth="1"/>
    <col min="13058" max="13058" width="30.85546875" style="281" customWidth="1"/>
    <col min="13059" max="13059" width="84.42578125" style="281" customWidth="1"/>
    <col min="13060" max="13060" width="42.7109375" style="281" customWidth="1"/>
    <col min="13061" max="13061" width="4.85546875" style="281" customWidth="1"/>
    <col min="13062" max="13312" width="11.42578125" style="281"/>
    <col min="13313" max="13313" width="4.85546875" style="281" customWidth="1"/>
    <col min="13314" max="13314" width="30.85546875" style="281" customWidth="1"/>
    <col min="13315" max="13315" width="84.42578125" style="281" customWidth="1"/>
    <col min="13316" max="13316" width="42.7109375" style="281" customWidth="1"/>
    <col min="13317" max="13317" width="4.85546875" style="281" customWidth="1"/>
    <col min="13318" max="13568" width="11.42578125" style="281"/>
    <col min="13569" max="13569" width="4.85546875" style="281" customWidth="1"/>
    <col min="13570" max="13570" width="30.85546875" style="281" customWidth="1"/>
    <col min="13571" max="13571" width="84.42578125" style="281" customWidth="1"/>
    <col min="13572" max="13572" width="42.7109375" style="281" customWidth="1"/>
    <col min="13573" max="13573" width="4.85546875" style="281" customWidth="1"/>
    <col min="13574" max="13824" width="11.42578125" style="281"/>
    <col min="13825" max="13825" width="4.85546875" style="281" customWidth="1"/>
    <col min="13826" max="13826" width="30.85546875" style="281" customWidth="1"/>
    <col min="13827" max="13827" width="84.42578125" style="281" customWidth="1"/>
    <col min="13828" max="13828" width="42.7109375" style="281" customWidth="1"/>
    <col min="13829" max="13829" width="4.85546875" style="281" customWidth="1"/>
    <col min="13830" max="14080" width="11.42578125" style="281"/>
    <col min="14081" max="14081" width="4.85546875" style="281" customWidth="1"/>
    <col min="14082" max="14082" width="30.85546875" style="281" customWidth="1"/>
    <col min="14083" max="14083" width="84.42578125" style="281" customWidth="1"/>
    <col min="14084" max="14084" width="42.7109375" style="281" customWidth="1"/>
    <col min="14085" max="14085" width="4.85546875" style="281" customWidth="1"/>
    <col min="14086" max="14336" width="11.42578125" style="281"/>
    <col min="14337" max="14337" width="4.85546875" style="281" customWidth="1"/>
    <col min="14338" max="14338" width="30.85546875" style="281" customWidth="1"/>
    <col min="14339" max="14339" width="84.42578125" style="281" customWidth="1"/>
    <col min="14340" max="14340" width="42.7109375" style="281" customWidth="1"/>
    <col min="14341" max="14341" width="4.85546875" style="281" customWidth="1"/>
    <col min="14342" max="14592" width="11.42578125" style="281"/>
    <col min="14593" max="14593" width="4.85546875" style="281" customWidth="1"/>
    <col min="14594" max="14594" width="30.85546875" style="281" customWidth="1"/>
    <col min="14595" max="14595" width="84.42578125" style="281" customWidth="1"/>
    <col min="14596" max="14596" width="42.7109375" style="281" customWidth="1"/>
    <col min="14597" max="14597" width="4.85546875" style="281" customWidth="1"/>
    <col min="14598" max="14848" width="11.42578125" style="281"/>
    <col min="14849" max="14849" width="4.85546875" style="281" customWidth="1"/>
    <col min="14850" max="14850" width="30.85546875" style="281" customWidth="1"/>
    <col min="14851" max="14851" width="84.42578125" style="281" customWidth="1"/>
    <col min="14852" max="14852" width="42.7109375" style="281" customWidth="1"/>
    <col min="14853" max="14853" width="4.85546875" style="281" customWidth="1"/>
    <col min="14854" max="15104" width="11.42578125" style="281"/>
    <col min="15105" max="15105" width="4.85546875" style="281" customWidth="1"/>
    <col min="15106" max="15106" width="30.85546875" style="281" customWidth="1"/>
    <col min="15107" max="15107" width="84.42578125" style="281" customWidth="1"/>
    <col min="15108" max="15108" width="42.7109375" style="281" customWidth="1"/>
    <col min="15109" max="15109" width="4.85546875" style="281" customWidth="1"/>
    <col min="15110" max="15360" width="11.42578125" style="281"/>
    <col min="15361" max="15361" width="4.85546875" style="281" customWidth="1"/>
    <col min="15362" max="15362" width="30.85546875" style="281" customWidth="1"/>
    <col min="15363" max="15363" width="84.42578125" style="281" customWidth="1"/>
    <col min="15364" max="15364" width="42.7109375" style="281" customWidth="1"/>
    <col min="15365" max="15365" width="4.85546875" style="281" customWidth="1"/>
    <col min="15366" max="15616" width="11.42578125" style="281"/>
    <col min="15617" max="15617" width="4.85546875" style="281" customWidth="1"/>
    <col min="15618" max="15618" width="30.85546875" style="281" customWidth="1"/>
    <col min="15619" max="15619" width="84.42578125" style="281" customWidth="1"/>
    <col min="15620" max="15620" width="42.7109375" style="281" customWidth="1"/>
    <col min="15621" max="15621" width="4.85546875" style="281" customWidth="1"/>
    <col min="15622" max="15872" width="11.42578125" style="281"/>
    <col min="15873" max="15873" width="4.85546875" style="281" customWidth="1"/>
    <col min="15874" max="15874" width="30.85546875" style="281" customWidth="1"/>
    <col min="15875" max="15875" width="84.42578125" style="281" customWidth="1"/>
    <col min="15876" max="15876" width="42.7109375" style="281" customWidth="1"/>
    <col min="15877" max="15877" width="4.85546875" style="281" customWidth="1"/>
    <col min="15878" max="16128" width="11.42578125" style="281"/>
    <col min="16129" max="16129" width="4.85546875" style="281" customWidth="1"/>
    <col min="16130" max="16130" width="30.85546875" style="281" customWidth="1"/>
    <col min="16131" max="16131" width="84.42578125" style="281" customWidth="1"/>
    <col min="16132" max="16132" width="42.7109375" style="281" customWidth="1"/>
    <col min="16133" max="16133" width="4.85546875" style="281" customWidth="1"/>
    <col min="16134" max="16384" width="11.42578125" style="281"/>
  </cols>
  <sheetData>
    <row r="1" spans="1:8" s="45" customFormat="1" x14ac:dyDescent="0.2">
      <c r="B1" s="694" t="s">
        <v>1007</v>
      </c>
      <c r="C1" s="694"/>
      <c r="D1" s="694"/>
      <c r="E1" s="694"/>
    </row>
    <row r="2" spans="1:8" s="45" customFormat="1" x14ac:dyDescent="0.2">
      <c r="B2" s="694" t="s">
        <v>1264</v>
      </c>
      <c r="C2" s="694"/>
      <c r="D2" s="694"/>
      <c r="E2" s="694"/>
    </row>
    <row r="3" spans="1:8" s="45" customFormat="1" x14ac:dyDescent="0.2">
      <c r="B3" s="694" t="s">
        <v>1008</v>
      </c>
      <c r="C3" s="694"/>
      <c r="D3" s="694"/>
      <c r="E3" s="694"/>
    </row>
    <row r="4" spans="1:8" x14ac:dyDescent="0.2">
      <c r="A4" s="277"/>
      <c r="B4" s="278" t="s">
        <v>1009</v>
      </c>
      <c r="C4" s="678" t="s">
        <v>1023</v>
      </c>
      <c r="D4" s="678"/>
      <c r="E4" s="279"/>
      <c r="F4" s="280"/>
      <c r="G4" s="280"/>
      <c r="H4" s="280"/>
    </row>
    <row r="5" spans="1:8" x14ac:dyDescent="0.2">
      <c r="A5" s="277"/>
      <c r="B5" s="282"/>
      <c r="C5" s="283"/>
      <c r="D5" s="283"/>
      <c r="E5" s="284"/>
    </row>
    <row r="6" spans="1:8" s="286" customFormat="1" x14ac:dyDescent="0.2">
      <c r="A6" s="285"/>
      <c r="B6" s="160"/>
      <c r="C6" s="285"/>
      <c r="D6" s="285"/>
      <c r="E6" s="160"/>
    </row>
    <row r="7" spans="1:8" s="50" customFormat="1" x14ac:dyDescent="0.2">
      <c r="A7" s="679" t="s">
        <v>1010</v>
      </c>
      <c r="B7" s="680"/>
      <c r="C7" s="448" t="s">
        <v>1011</v>
      </c>
      <c r="D7" s="448" t="s">
        <v>1012</v>
      </c>
      <c r="E7" s="288"/>
    </row>
    <row r="8" spans="1:8" s="286" customFormat="1" x14ac:dyDescent="0.2">
      <c r="A8" s="289"/>
      <c r="B8" s="290"/>
      <c r="C8" s="290"/>
      <c r="D8" s="290"/>
      <c r="E8" s="291"/>
    </row>
    <row r="9" spans="1:8" x14ac:dyDescent="0.2">
      <c r="A9" s="292"/>
      <c r="B9" s="293"/>
      <c r="C9" s="311" t="s">
        <v>124</v>
      </c>
      <c r="D9" s="456">
        <f>+D10+D31+D37+D38+D42+D43+D98+D99</f>
        <v>2306178.3200000003</v>
      </c>
      <c r="E9" s="294"/>
    </row>
    <row r="10" spans="1:8" x14ac:dyDescent="0.2">
      <c r="A10" s="292"/>
      <c r="B10" s="293"/>
      <c r="C10" s="564" t="s">
        <v>294</v>
      </c>
      <c r="D10" s="565">
        <f>SUM(D11:D30)+1</f>
        <v>253214.44999999998</v>
      </c>
      <c r="E10" s="294"/>
    </row>
    <row r="11" spans="1:8" x14ac:dyDescent="0.2">
      <c r="A11" s="292"/>
      <c r="B11" s="293" t="s">
        <v>1030</v>
      </c>
      <c r="C11" s="311" t="s">
        <v>631</v>
      </c>
      <c r="D11" s="456">
        <v>2875</v>
      </c>
      <c r="E11" s="294"/>
    </row>
    <row r="12" spans="1:8" x14ac:dyDescent="0.2">
      <c r="A12" s="292"/>
      <c r="B12" s="293" t="s">
        <v>1031</v>
      </c>
      <c r="C12" s="311" t="s">
        <v>632</v>
      </c>
      <c r="D12" s="456">
        <v>23719</v>
      </c>
      <c r="E12" s="294"/>
    </row>
    <row r="13" spans="1:8" x14ac:dyDescent="0.2">
      <c r="A13" s="292"/>
      <c r="B13" s="293" t="s">
        <v>1032</v>
      </c>
      <c r="C13" s="311" t="s">
        <v>633</v>
      </c>
      <c r="D13" s="456">
        <v>4812</v>
      </c>
      <c r="E13" s="294"/>
    </row>
    <row r="14" spans="1:8" x14ac:dyDescent="0.2">
      <c r="A14" s="292"/>
      <c r="B14" s="293" t="s">
        <v>1033</v>
      </c>
      <c r="C14" s="311" t="s">
        <v>634</v>
      </c>
      <c r="D14" s="456">
        <v>137491</v>
      </c>
      <c r="E14" s="294"/>
    </row>
    <row r="15" spans="1:8" x14ac:dyDescent="0.2">
      <c r="A15" s="292"/>
      <c r="B15" s="293" t="s">
        <v>1034</v>
      </c>
      <c r="C15" s="311" t="s">
        <v>635</v>
      </c>
      <c r="D15" s="456">
        <v>17294.34</v>
      </c>
      <c r="E15" s="294"/>
    </row>
    <row r="16" spans="1:8" x14ac:dyDescent="0.2">
      <c r="A16" s="295"/>
      <c r="B16" s="293" t="s">
        <v>1035</v>
      </c>
      <c r="C16" s="311" t="s">
        <v>636</v>
      </c>
      <c r="D16" s="456">
        <v>1592.06</v>
      </c>
      <c r="E16" s="294"/>
    </row>
    <row r="17" spans="1:5" x14ac:dyDescent="0.2">
      <c r="A17" s="295"/>
      <c r="B17" s="293" t="s">
        <v>1036</v>
      </c>
      <c r="C17" s="311" t="s">
        <v>637</v>
      </c>
      <c r="D17" s="456">
        <v>0</v>
      </c>
      <c r="E17" s="294"/>
    </row>
    <row r="18" spans="1:5" x14ac:dyDescent="0.2">
      <c r="A18" s="295"/>
      <c r="B18" s="293" t="s">
        <v>1037</v>
      </c>
      <c r="C18" s="311" t="s">
        <v>638</v>
      </c>
      <c r="D18" s="456">
        <v>15850.76</v>
      </c>
      <c r="E18" s="294"/>
    </row>
    <row r="19" spans="1:5" x14ac:dyDescent="0.2">
      <c r="A19" s="295"/>
      <c r="B19" s="293" t="s">
        <v>1038</v>
      </c>
      <c r="C19" s="311" t="s">
        <v>639</v>
      </c>
      <c r="D19" s="456">
        <v>5348.71</v>
      </c>
      <c r="E19" s="294"/>
    </row>
    <row r="20" spans="1:5" x14ac:dyDescent="0.2">
      <c r="A20" s="295"/>
      <c r="B20" s="293" t="s">
        <v>1039</v>
      </c>
      <c r="C20" s="311" t="s">
        <v>640</v>
      </c>
      <c r="D20" s="456">
        <v>3220</v>
      </c>
      <c r="E20" s="294"/>
    </row>
    <row r="21" spans="1:5" x14ac:dyDescent="0.2">
      <c r="A21" s="295"/>
      <c r="B21" s="293" t="s">
        <v>1040</v>
      </c>
      <c r="C21" s="311" t="s">
        <v>641</v>
      </c>
      <c r="D21" s="456">
        <v>1380</v>
      </c>
      <c r="E21" s="294"/>
    </row>
    <row r="22" spans="1:5" x14ac:dyDescent="0.2">
      <c r="A22" s="295"/>
      <c r="B22" s="293" t="s">
        <v>1041</v>
      </c>
      <c r="C22" s="311" t="s">
        <v>642</v>
      </c>
      <c r="D22" s="456">
        <v>7923.86</v>
      </c>
      <c r="E22" s="294"/>
    </row>
    <row r="23" spans="1:5" x14ac:dyDescent="0.2">
      <c r="A23" s="295"/>
      <c r="B23" s="293" t="s">
        <v>1042</v>
      </c>
      <c r="C23" s="311" t="s">
        <v>643</v>
      </c>
      <c r="D23" s="456">
        <v>4690.8500000000004</v>
      </c>
      <c r="E23" s="294"/>
    </row>
    <row r="24" spans="1:5" x14ac:dyDescent="0.2">
      <c r="A24" s="295"/>
      <c r="B24" s="293" t="s">
        <v>1043</v>
      </c>
      <c r="C24" s="311" t="s">
        <v>644</v>
      </c>
      <c r="D24" s="456">
        <v>1469</v>
      </c>
      <c r="E24" s="294"/>
    </row>
    <row r="25" spans="1:5" x14ac:dyDescent="0.2">
      <c r="A25" s="295"/>
      <c r="B25" s="293" t="s">
        <v>1044</v>
      </c>
      <c r="C25" s="311" t="s">
        <v>645</v>
      </c>
      <c r="D25" s="456">
        <v>4907.96</v>
      </c>
      <c r="E25" s="294"/>
    </row>
    <row r="26" spans="1:5" x14ac:dyDescent="0.2">
      <c r="A26" s="295"/>
      <c r="B26" s="293" t="s">
        <v>1045</v>
      </c>
      <c r="C26" s="311" t="s">
        <v>646</v>
      </c>
      <c r="D26" s="456">
        <v>4338</v>
      </c>
      <c r="E26" s="294"/>
    </row>
    <row r="27" spans="1:5" x14ac:dyDescent="0.2">
      <c r="A27" s="295"/>
      <c r="B27" s="293" t="s">
        <v>1046</v>
      </c>
      <c r="C27" s="311" t="s">
        <v>647</v>
      </c>
      <c r="D27" s="456">
        <v>2407</v>
      </c>
      <c r="E27" s="294"/>
    </row>
    <row r="28" spans="1:5" x14ac:dyDescent="0.2">
      <c r="A28" s="295"/>
      <c r="B28" s="293" t="s">
        <v>1047</v>
      </c>
      <c r="C28" s="311" t="s">
        <v>648</v>
      </c>
      <c r="D28" s="456">
        <v>1274.9100000000001</v>
      </c>
      <c r="E28" s="294"/>
    </row>
    <row r="29" spans="1:5" x14ac:dyDescent="0.2">
      <c r="A29" s="295"/>
      <c r="B29" s="293" t="s">
        <v>1048</v>
      </c>
      <c r="C29" s="311" t="s">
        <v>649</v>
      </c>
      <c r="D29" s="456">
        <v>2699</v>
      </c>
      <c r="E29" s="294"/>
    </row>
    <row r="30" spans="1:5" x14ac:dyDescent="0.2">
      <c r="A30" s="292"/>
      <c r="B30" s="293" t="s">
        <v>1049</v>
      </c>
      <c r="C30" s="311" t="s">
        <v>708</v>
      </c>
      <c r="D30" s="456">
        <v>9920</v>
      </c>
      <c r="E30" s="294"/>
    </row>
    <row r="31" spans="1:5" x14ac:dyDescent="0.2">
      <c r="A31" s="292"/>
      <c r="B31" s="293"/>
      <c r="C31" s="564" t="s">
        <v>295</v>
      </c>
      <c r="D31" s="565">
        <f>SUM(D32:D36)</f>
        <v>849685.39</v>
      </c>
      <c r="E31" s="294"/>
    </row>
    <row r="32" spans="1:5" x14ac:dyDescent="0.2">
      <c r="A32" s="292"/>
      <c r="B32" s="293" t="s">
        <v>1049</v>
      </c>
      <c r="C32" s="311" t="s">
        <v>650</v>
      </c>
      <c r="D32" s="456">
        <f>752484.09+1</f>
        <v>752485.09</v>
      </c>
      <c r="E32" s="294"/>
    </row>
    <row r="33" spans="1:9" x14ac:dyDescent="0.2">
      <c r="A33" s="292"/>
      <c r="B33" s="293" t="s">
        <v>1050</v>
      </c>
      <c r="C33" s="311" t="s">
        <v>651</v>
      </c>
      <c r="D33" s="456">
        <v>4800</v>
      </c>
      <c r="E33" s="294"/>
    </row>
    <row r="34" spans="1:9" x14ac:dyDescent="0.2">
      <c r="A34" s="292"/>
      <c r="B34" s="293" t="s">
        <v>1051</v>
      </c>
      <c r="C34" s="311" t="s">
        <v>652</v>
      </c>
      <c r="D34" s="456">
        <v>506</v>
      </c>
      <c r="E34" s="294"/>
    </row>
    <row r="35" spans="1:9" x14ac:dyDescent="0.2">
      <c r="A35" s="292"/>
      <c r="B35" s="293" t="s">
        <v>1052</v>
      </c>
      <c r="C35" s="311" t="s">
        <v>653</v>
      </c>
      <c r="D35" s="456">
        <v>10667.5</v>
      </c>
      <c r="E35" s="294"/>
    </row>
    <row r="36" spans="1:9" x14ac:dyDescent="0.2">
      <c r="A36" s="292"/>
      <c r="B36" s="293" t="s">
        <v>1053</v>
      </c>
      <c r="C36" s="311" t="s">
        <v>654</v>
      </c>
      <c r="D36" s="456">
        <v>81226.8</v>
      </c>
      <c r="E36" s="294"/>
    </row>
    <row r="37" spans="1:9" x14ac:dyDescent="0.2">
      <c r="A37" s="292"/>
      <c r="B37" s="293"/>
      <c r="C37" s="311" t="s">
        <v>296</v>
      </c>
      <c r="D37" s="456"/>
      <c r="E37" s="294"/>
    </row>
    <row r="38" spans="1:9" x14ac:dyDescent="0.2">
      <c r="A38" s="292"/>
      <c r="B38" s="293"/>
      <c r="C38" s="564" t="s">
        <v>297</v>
      </c>
      <c r="D38" s="565">
        <f>SUM(D39:D41)</f>
        <v>613500</v>
      </c>
      <c r="E38" s="294"/>
    </row>
    <row r="39" spans="1:9" x14ac:dyDescent="0.2">
      <c r="A39" s="289"/>
      <c r="B39" s="293" t="s">
        <v>1054</v>
      </c>
      <c r="C39" s="311" t="s">
        <v>656</v>
      </c>
      <c r="D39" s="456">
        <v>169900</v>
      </c>
      <c r="E39" s="457"/>
      <c r="F39" s="53"/>
      <c r="G39" s="77"/>
      <c r="H39" s="77"/>
      <c r="I39" s="77"/>
    </row>
    <row r="40" spans="1:9" x14ac:dyDescent="0.2">
      <c r="A40" s="453"/>
      <c r="B40" s="293" t="s">
        <v>1055</v>
      </c>
      <c r="C40" s="311" t="s">
        <v>660</v>
      </c>
      <c r="D40" s="456">
        <v>303900</v>
      </c>
      <c r="E40" s="458"/>
    </row>
    <row r="41" spans="1:9" x14ac:dyDescent="0.2">
      <c r="A41" s="453"/>
      <c r="B41" s="293" t="s">
        <v>1056</v>
      </c>
      <c r="C41" s="311" t="s">
        <v>742</v>
      </c>
      <c r="D41" s="456">
        <v>139700</v>
      </c>
      <c r="E41" s="458"/>
    </row>
    <row r="42" spans="1:9" x14ac:dyDescent="0.2">
      <c r="A42" s="453"/>
      <c r="B42" s="293"/>
      <c r="C42" s="311" t="s">
        <v>298</v>
      </c>
      <c r="D42" s="456"/>
      <c r="E42" s="458"/>
    </row>
    <row r="43" spans="1:9" x14ac:dyDescent="0.2">
      <c r="A43" s="453"/>
      <c r="B43" s="293"/>
      <c r="C43" s="564" t="s">
        <v>299</v>
      </c>
      <c r="D43" s="565">
        <f>SUM(D44:D97)</f>
        <v>589778.48</v>
      </c>
      <c r="E43" s="458"/>
    </row>
    <row r="44" spans="1:9" x14ac:dyDescent="0.2">
      <c r="A44" s="453"/>
      <c r="B44" s="293" t="s">
        <v>1057</v>
      </c>
      <c r="C44" s="311" t="s">
        <v>661</v>
      </c>
      <c r="D44" s="456">
        <v>12834.77</v>
      </c>
      <c r="E44" s="458"/>
    </row>
    <row r="45" spans="1:9" x14ac:dyDescent="0.2">
      <c r="A45" s="453"/>
      <c r="B45" s="293" t="s">
        <v>1058</v>
      </c>
      <c r="C45" s="311" t="s">
        <v>662</v>
      </c>
      <c r="D45" s="456">
        <v>0</v>
      </c>
      <c r="E45" s="458"/>
    </row>
    <row r="46" spans="1:9" x14ac:dyDescent="0.2">
      <c r="A46" s="453"/>
      <c r="B46" s="293" t="s">
        <v>1059</v>
      </c>
      <c r="C46" s="311" t="s">
        <v>663</v>
      </c>
      <c r="D46" s="456">
        <v>69147.199999999997</v>
      </c>
      <c r="E46" s="458"/>
    </row>
    <row r="47" spans="1:9" x14ac:dyDescent="0.2">
      <c r="A47" s="453"/>
      <c r="B47" s="293" t="s">
        <v>1060</v>
      </c>
      <c r="C47" s="311" t="s">
        <v>664</v>
      </c>
      <c r="D47" s="456">
        <v>0</v>
      </c>
      <c r="E47" s="458"/>
    </row>
    <row r="48" spans="1:9" x14ac:dyDescent="0.2">
      <c r="A48" s="453"/>
      <c r="B48" s="293" t="s">
        <v>1061</v>
      </c>
      <c r="C48" s="311" t="s">
        <v>665</v>
      </c>
      <c r="D48" s="456">
        <v>28290</v>
      </c>
      <c r="E48" s="458"/>
    </row>
    <row r="49" spans="1:5" x14ac:dyDescent="0.2">
      <c r="A49" s="453"/>
      <c r="B49" s="293" t="s">
        <v>1062</v>
      </c>
      <c r="C49" s="311" t="s">
        <v>666</v>
      </c>
      <c r="D49" s="456">
        <v>21620</v>
      </c>
      <c r="E49" s="458"/>
    </row>
    <row r="50" spans="1:5" x14ac:dyDescent="0.2">
      <c r="A50" s="453"/>
      <c r="B50" s="293" t="s">
        <v>1063</v>
      </c>
      <c r="C50" s="311" t="s">
        <v>667</v>
      </c>
      <c r="D50" s="456">
        <v>690</v>
      </c>
      <c r="E50" s="458"/>
    </row>
    <row r="51" spans="1:5" x14ac:dyDescent="0.2">
      <c r="A51" s="453"/>
      <c r="B51" s="293" t="s">
        <v>1064</v>
      </c>
      <c r="C51" s="311" t="s">
        <v>668</v>
      </c>
      <c r="D51" s="456">
        <v>1150</v>
      </c>
      <c r="E51" s="458"/>
    </row>
    <row r="52" spans="1:5" x14ac:dyDescent="0.2">
      <c r="A52" s="453"/>
      <c r="B52" s="293" t="s">
        <v>1065</v>
      </c>
      <c r="C52" s="311" t="s">
        <v>669</v>
      </c>
      <c r="D52" s="456">
        <v>120367.62</v>
      </c>
      <c r="E52" s="458"/>
    </row>
    <row r="53" spans="1:5" x14ac:dyDescent="0.2">
      <c r="A53" s="453"/>
      <c r="B53" s="293" t="s">
        <v>1066</v>
      </c>
      <c r="C53" s="311" t="s">
        <v>670</v>
      </c>
      <c r="D53" s="456">
        <v>1299.01</v>
      </c>
      <c r="E53" s="458"/>
    </row>
    <row r="54" spans="1:5" x14ac:dyDescent="0.2">
      <c r="A54" s="453"/>
      <c r="B54" s="293" t="s">
        <v>1067</v>
      </c>
      <c r="C54" s="311" t="s">
        <v>671</v>
      </c>
      <c r="D54" s="456">
        <v>1849</v>
      </c>
      <c r="E54" s="458"/>
    </row>
    <row r="55" spans="1:5" x14ac:dyDescent="0.2">
      <c r="A55" s="453"/>
      <c r="B55" s="293" t="s">
        <v>1068</v>
      </c>
      <c r="C55" s="311" t="s">
        <v>672</v>
      </c>
      <c r="D55" s="456">
        <v>16499</v>
      </c>
      <c r="E55" s="458"/>
    </row>
    <row r="56" spans="1:5" x14ac:dyDescent="0.2">
      <c r="A56" s="453"/>
      <c r="B56" s="293" t="s">
        <v>1069</v>
      </c>
      <c r="C56" s="311" t="s">
        <v>673</v>
      </c>
      <c r="D56" s="456">
        <v>0</v>
      </c>
      <c r="E56" s="458"/>
    </row>
    <row r="57" spans="1:5" x14ac:dyDescent="0.2">
      <c r="A57" s="453"/>
      <c r="B57" s="293" t="s">
        <v>1070</v>
      </c>
      <c r="C57" s="311" t="s">
        <v>673</v>
      </c>
      <c r="D57" s="456">
        <v>6250</v>
      </c>
      <c r="E57" s="458"/>
    </row>
    <row r="58" spans="1:5" x14ac:dyDescent="0.2">
      <c r="A58" s="453"/>
      <c r="B58" s="293" t="s">
        <v>1071</v>
      </c>
      <c r="C58" s="311" t="s">
        <v>673</v>
      </c>
      <c r="D58" s="456">
        <v>6250</v>
      </c>
      <c r="E58" s="458"/>
    </row>
    <row r="59" spans="1:5" x14ac:dyDescent="0.2">
      <c r="A59" s="453"/>
      <c r="B59" s="293" t="s">
        <v>1072</v>
      </c>
      <c r="C59" s="311" t="s">
        <v>673</v>
      </c>
      <c r="D59" s="456">
        <v>6250</v>
      </c>
      <c r="E59" s="458"/>
    </row>
    <row r="60" spans="1:5" x14ac:dyDescent="0.2">
      <c r="A60" s="453"/>
      <c r="B60" s="293" t="s">
        <v>1073</v>
      </c>
      <c r="C60" s="311" t="s">
        <v>674</v>
      </c>
      <c r="D60" s="456">
        <v>7650</v>
      </c>
      <c r="E60" s="458"/>
    </row>
    <row r="61" spans="1:5" x14ac:dyDescent="0.2">
      <c r="A61" s="453"/>
      <c r="B61" s="293" t="s">
        <v>1074</v>
      </c>
      <c r="C61" s="311" t="s">
        <v>675</v>
      </c>
      <c r="D61" s="456">
        <v>2204</v>
      </c>
      <c r="E61" s="458"/>
    </row>
    <row r="62" spans="1:5" x14ac:dyDescent="0.2">
      <c r="A62" s="453"/>
      <c r="B62" s="293" t="s">
        <v>1075</v>
      </c>
      <c r="C62" s="311" t="s">
        <v>714</v>
      </c>
      <c r="D62" s="456">
        <v>714</v>
      </c>
      <c r="E62" s="458"/>
    </row>
    <row r="63" spans="1:5" x14ac:dyDescent="0.2">
      <c r="A63" s="453"/>
      <c r="B63" s="293" t="s">
        <v>1076</v>
      </c>
      <c r="C63" s="311" t="s">
        <v>715</v>
      </c>
      <c r="D63" s="456">
        <v>0</v>
      </c>
      <c r="E63" s="458"/>
    </row>
    <row r="64" spans="1:5" x14ac:dyDescent="0.2">
      <c r="A64" s="453"/>
      <c r="B64" s="293" t="s">
        <v>1077</v>
      </c>
      <c r="C64" s="311" t="s">
        <v>716</v>
      </c>
      <c r="D64" s="456">
        <v>9999</v>
      </c>
      <c r="E64" s="458"/>
    </row>
    <row r="65" spans="1:5" x14ac:dyDescent="0.2">
      <c r="A65" s="453"/>
      <c r="B65" s="293" t="s">
        <v>1078</v>
      </c>
      <c r="C65" s="311" t="s">
        <v>717</v>
      </c>
      <c r="D65" s="456">
        <v>9980.64</v>
      </c>
      <c r="E65" s="458"/>
    </row>
    <row r="66" spans="1:5" x14ac:dyDescent="0.2">
      <c r="A66" s="453"/>
      <c r="B66" s="293" t="s">
        <v>1079</v>
      </c>
      <c r="C66" s="311" t="s">
        <v>718</v>
      </c>
      <c r="D66" s="456">
        <v>10500</v>
      </c>
      <c r="E66" s="458"/>
    </row>
    <row r="67" spans="1:5" x14ac:dyDescent="0.2">
      <c r="A67" s="453"/>
      <c r="B67" s="293" t="s">
        <v>1080</v>
      </c>
      <c r="C67" s="311" t="s">
        <v>676</v>
      </c>
      <c r="D67" s="456">
        <v>6920</v>
      </c>
      <c r="E67" s="458"/>
    </row>
    <row r="68" spans="1:5" x14ac:dyDescent="0.2">
      <c r="A68" s="453"/>
      <c r="B68" s="293" t="s">
        <v>1081</v>
      </c>
      <c r="C68" s="311" t="s">
        <v>677</v>
      </c>
      <c r="D68" s="456">
        <v>4111.25</v>
      </c>
      <c r="E68" s="458"/>
    </row>
    <row r="69" spans="1:5" x14ac:dyDescent="0.2">
      <c r="A69" s="453"/>
      <c r="B69" s="293" t="s">
        <v>1082</v>
      </c>
      <c r="C69" s="311" t="s">
        <v>678</v>
      </c>
      <c r="D69" s="456">
        <v>0</v>
      </c>
      <c r="E69" s="458"/>
    </row>
    <row r="70" spans="1:5" x14ac:dyDescent="0.2">
      <c r="A70" s="453"/>
      <c r="B70" s="293" t="s">
        <v>1083</v>
      </c>
      <c r="C70" s="311" t="s">
        <v>679</v>
      </c>
      <c r="D70" s="456">
        <v>35442</v>
      </c>
      <c r="E70" s="458"/>
    </row>
    <row r="71" spans="1:5" x14ac:dyDescent="0.2">
      <c r="A71" s="453"/>
      <c r="B71" s="293" t="s">
        <v>1084</v>
      </c>
      <c r="C71" s="311" t="s">
        <v>680</v>
      </c>
      <c r="D71" s="456">
        <v>14998.99</v>
      </c>
      <c r="E71" s="458"/>
    </row>
    <row r="72" spans="1:5" x14ac:dyDescent="0.2">
      <c r="A72" s="453"/>
      <c r="B72" s="293" t="s">
        <v>1085</v>
      </c>
      <c r="C72" s="311" t="s">
        <v>681</v>
      </c>
      <c r="D72" s="456">
        <v>4610</v>
      </c>
      <c r="E72" s="458"/>
    </row>
    <row r="73" spans="1:5" x14ac:dyDescent="0.2">
      <c r="A73" s="453"/>
      <c r="B73" s="293" t="s">
        <v>1086</v>
      </c>
      <c r="C73" s="311" t="s">
        <v>682</v>
      </c>
      <c r="D73" s="456">
        <v>13500</v>
      </c>
      <c r="E73" s="458"/>
    </row>
    <row r="74" spans="1:5" x14ac:dyDescent="0.2">
      <c r="A74" s="453"/>
      <c r="B74" s="293" t="s">
        <v>1087</v>
      </c>
      <c r="C74" s="311" t="s">
        <v>719</v>
      </c>
      <c r="D74" s="456">
        <v>27880.6</v>
      </c>
      <c r="E74" s="458"/>
    </row>
    <row r="75" spans="1:5" x14ac:dyDescent="0.2">
      <c r="A75" s="453"/>
      <c r="B75" s="293" t="s">
        <v>1088</v>
      </c>
      <c r="C75" s="311" t="s">
        <v>720</v>
      </c>
      <c r="D75" s="456">
        <v>29550</v>
      </c>
      <c r="E75" s="458"/>
    </row>
    <row r="76" spans="1:5" x14ac:dyDescent="0.2">
      <c r="A76" s="453"/>
      <c r="B76" s="293" t="s">
        <v>1089</v>
      </c>
      <c r="C76" s="311" t="s">
        <v>721</v>
      </c>
      <c r="D76" s="456">
        <v>0</v>
      </c>
      <c r="E76" s="458"/>
    </row>
    <row r="77" spans="1:5" x14ac:dyDescent="0.2">
      <c r="A77" s="453"/>
      <c r="B77" s="293" t="s">
        <v>1090</v>
      </c>
      <c r="C77" s="311" t="s">
        <v>683</v>
      </c>
      <c r="D77" s="456">
        <v>12614</v>
      </c>
      <c r="E77" s="458"/>
    </row>
    <row r="78" spans="1:5" x14ac:dyDescent="0.2">
      <c r="A78" s="453"/>
      <c r="B78" s="293" t="s">
        <v>1091</v>
      </c>
      <c r="C78" s="311" t="s">
        <v>684</v>
      </c>
      <c r="D78" s="456">
        <v>35191</v>
      </c>
      <c r="E78" s="458"/>
    </row>
    <row r="79" spans="1:5" x14ac:dyDescent="0.2">
      <c r="A79" s="453"/>
      <c r="B79" s="293" t="s">
        <v>1092</v>
      </c>
      <c r="C79" s="311" t="s">
        <v>685</v>
      </c>
      <c r="D79" s="456">
        <v>0</v>
      </c>
      <c r="E79" s="458"/>
    </row>
    <row r="80" spans="1:5" x14ac:dyDescent="0.2">
      <c r="A80" s="453"/>
      <c r="B80" s="293" t="s">
        <v>1093</v>
      </c>
      <c r="C80" s="311" t="s">
        <v>686</v>
      </c>
      <c r="D80" s="456">
        <v>12548</v>
      </c>
      <c r="E80" s="458"/>
    </row>
    <row r="81" spans="1:5" x14ac:dyDescent="0.2">
      <c r="A81" s="453"/>
      <c r="B81" s="293" t="s">
        <v>1094</v>
      </c>
      <c r="C81" s="311" t="s">
        <v>687</v>
      </c>
      <c r="D81" s="456">
        <v>4400</v>
      </c>
      <c r="E81" s="458"/>
    </row>
    <row r="82" spans="1:5" x14ac:dyDescent="0.2">
      <c r="A82" s="453"/>
      <c r="B82" s="293" t="s">
        <v>1095</v>
      </c>
      <c r="C82" s="311" t="s">
        <v>688</v>
      </c>
      <c r="D82" s="456">
        <v>1836</v>
      </c>
      <c r="E82" s="458"/>
    </row>
    <row r="83" spans="1:5" x14ac:dyDescent="0.2">
      <c r="A83" s="453"/>
      <c r="B83" s="293" t="s">
        <v>1096</v>
      </c>
      <c r="C83" s="311" t="s">
        <v>689</v>
      </c>
      <c r="D83" s="456">
        <v>435</v>
      </c>
      <c r="E83" s="458"/>
    </row>
    <row r="84" spans="1:5" x14ac:dyDescent="0.2">
      <c r="A84" s="453"/>
      <c r="B84" s="293" t="s">
        <v>1097</v>
      </c>
      <c r="C84" s="311" t="s">
        <v>690</v>
      </c>
      <c r="D84" s="456">
        <v>300</v>
      </c>
      <c r="E84" s="458"/>
    </row>
    <row r="85" spans="1:5" x14ac:dyDescent="0.2">
      <c r="A85" s="453"/>
      <c r="B85" s="293" t="s">
        <v>1098</v>
      </c>
      <c r="C85" s="311" t="s">
        <v>691</v>
      </c>
      <c r="D85" s="456">
        <v>8625</v>
      </c>
      <c r="E85" s="458"/>
    </row>
    <row r="86" spans="1:5" x14ac:dyDescent="0.2">
      <c r="A86" s="453"/>
      <c r="B86" s="293" t="s">
        <v>1099</v>
      </c>
      <c r="C86" s="311" t="s">
        <v>692</v>
      </c>
      <c r="D86" s="456">
        <v>1198</v>
      </c>
      <c r="E86" s="458"/>
    </row>
    <row r="87" spans="1:5" x14ac:dyDescent="0.2">
      <c r="A87" s="453"/>
      <c r="B87" s="293" t="s">
        <v>1100</v>
      </c>
      <c r="C87" s="311" t="s">
        <v>693</v>
      </c>
      <c r="D87" s="456">
        <v>189</v>
      </c>
      <c r="E87" s="458"/>
    </row>
    <row r="88" spans="1:5" x14ac:dyDescent="0.2">
      <c r="A88" s="453"/>
      <c r="B88" s="293" t="s">
        <v>1101</v>
      </c>
      <c r="C88" s="311" t="s">
        <v>694</v>
      </c>
      <c r="D88" s="456">
        <v>315</v>
      </c>
      <c r="E88" s="458"/>
    </row>
    <row r="89" spans="1:5" x14ac:dyDescent="0.2">
      <c r="A89" s="453"/>
      <c r="B89" s="293" t="s">
        <v>1102</v>
      </c>
      <c r="C89" s="311" t="s">
        <v>695</v>
      </c>
      <c r="D89" s="456">
        <v>1605</v>
      </c>
      <c r="E89" s="458"/>
    </row>
    <row r="90" spans="1:5" x14ac:dyDescent="0.2">
      <c r="A90" s="453"/>
      <c r="B90" s="293" t="s">
        <v>1103</v>
      </c>
      <c r="C90" s="311" t="s">
        <v>696</v>
      </c>
      <c r="D90" s="456">
        <v>12382</v>
      </c>
      <c r="E90" s="458"/>
    </row>
    <row r="91" spans="1:5" x14ac:dyDescent="0.2">
      <c r="A91" s="453"/>
      <c r="B91" s="293" t="s">
        <v>1104</v>
      </c>
      <c r="C91" s="311" t="s">
        <v>697</v>
      </c>
      <c r="D91" s="456">
        <v>4680.01</v>
      </c>
      <c r="E91" s="458"/>
    </row>
    <row r="92" spans="1:5" x14ac:dyDescent="0.2">
      <c r="A92" s="453"/>
      <c r="B92" s="293" t="s">
        <v>1105</v>
      </c>
      <c r="C92" s="311" t="s">
        <v>698</v>
      </c>
      <c r="D92" s="456">
        <v>629</v>
      </c>
      <c r="E92" s="458"/>
    </row>
    <row r="93" spans="1:5" x14ac:dyDescent="0.2">
      <c r="A93" s="453"/>
      <c r="B93" s="293" t="s">
        <v>1106</v>
      </c>
      <c r="C93" s="311" t="s">
        <v>699</v>
      </c>
      <c r="D93" s="456">
        <v>2334.4</v>
      </c>
      <c r="E93" s="458"/>
    </row>
    <row r="94" spans="1:5" x14ac:dyDescent="0.2">
      <c r="A94" s="453"/>
      <c r="B94" s="293" t="s">
        <v>1107</v>
      </c>
      <c r="C94" s="311" t="s">
        <v>700</v>
      </c>
      <c r="D94" s="456">
        <v>2900</v>
      </c>
      <c r="E94" s="458"/>
    </row>
    <row r="95" spans="1:5" x14ac:dyDescent="0.2">
      <c r="A95" s="453"/>
      <c r="B95" s="293" t="s">
        <v>1108</v>
      </c>
      <c r="C95" s="311" t="s">
        <v>709</v>
      </c>
      <c r="D95" s="456">
        <v>4640</v>
      </c>
      <c r="E95" s="458"/>
    </row>
    <row r="96" spans="1:5" x14ac:dyDescent="0.2">
      <c r="A96" s="453"/>
      <c r="B96" s="293" t="s">
        <v>1109</v>
      </c>
      <c r="C96" s="311" t="s">
        <v>711</v>
      </c>
      <c r="D96" s="456">
        <v>9499.99</v>
      </c>
      <c r="E96" s="458"/>
    </row>
    <row r="97" spans="1:5" x14ac:dyDescent="0.2">
      <c r="A97" s="453"/>
      <c r="B97" s="293" t="s">
        <v>1110</v>
      </c>
      <c r="C97" s="311" t="s">
        <v>713</v>
      </c>
      <c r="D97" s="456">
        <v>2900</v>
      </c>
      <c r="E97" s="458"/>
    </row>
    <row r="98" spans="1:5" x14ac:dyDescent="0.2">
      <c r="A98" s="453"/>
      <c r="B98" s="293"/>
      <c r="C98" s="311" t="s">
        <v>300</v>
      </c>
      <c r="D98" s="456">
        <v>0</v>
      </c>
      <c r="E98" s="458"/>
    </row>
    <row r="99" spans="1:5" x14ac:dyDescent="0.2">
      <c r="A99" s="453"/>
      <c r="B99" s="293"/>
      <c r="C99" s="311" t="s">
        <v>301</v>
      </c>
      <c r="D99" s="456">
        <v>0</v>
      </c>
      <c r="E99" s="458"/>
    </row>
    <row r="100" spans="1:5" x14ac:dyDescent="0.2">
      <c r="A100" s="453"/>
      <c r="B100" s="293"/>
      <c r="C100" s="311" t="s">
        <v>126</v>
      </c>
      <c r="D100" s="456">
        <f>+D101+D107+D108+D109+D110</f>
        <v>30712.080000000002</v>
      </c>
      <c r="E100" s="458"/>
    </row>
    <row r="101" spans="1:5" x14ac:dyDescent="0.2">
      <c r="A101" s="453"/>
      <c r="B101" s="293"/>
      <c r="C101" s="564" t="s">
        <v>302</v>
      </c>
      <c r="D101" s="565">
        <f>SUM(D102:D106)+1</f>
        <v>30712.080000000002</v>
      </c>
      <c r="E101" s="458"/>
    </row>
    <row r="102" spans="1:5" x14ac:dyDescent="0.2">
      <c r="A102" s="453"/>
      <c r="B102" s="293" t="s">
        <v>1111</v>
      </c>
      <c r="C102" s="311" t="s">
        <v>701</v>
      </c>
      <c r="D102" s="456">
        <v>4988</v>
      </c>
      <c r="E102" s="458"/>
    </row>
    <row r="103" spans="1:5" x14ac:dyDescent="0.2">
      <c r="A103" s="453"/>
      <c r="B103" s="293" t="s">
        <v>1112</v>
      </c>
      <c r="C103" s="311" t="s">
        <v>702</v>
      </c>
      <c r="D103" s="456">
        <v>1199</v>
      </c>
      <c r="E103" s="458"/>
    </row>
    <row r="104" spans="1:5" x14ac:dyDescent="0.2">
      <c r="A104" s="453"/>
      <c r="B104" s="293" t="s">
        <v>1113</v>
      </c>
      <c r="C104" s="311" t="s">
        <v>703</v>
      </c>
      <c r="D104" s="456">
        <v>1500</v>
      </c>
      <c r="E104" s="458"/>
    </row>
    <row r="105" spans="1:5" x14ac:dyDescent="0.2">
      <c r="A105" s="453"/>
      <c r="B105" s="293" t="s">
        <v>1114</v>
      </c>
      <c r="C105" s="311" t="s">
        <v>704</v>
      </c>
      <c r="D105" s="456">
        <v>17963</v>
      </c>
      <c r="E105" s="458"/>
    </row>
    <row r="106" spans="1:5" x14ac:dyDescent="0.2">
      <c r="A106" s="453"/>
      <c r="B106" s="293" t="s">
        <v>1115</v>
      </c>
      <c r="C106" s="311" t="s">
        <v>722</v>
      </c>
      <c r="D106" s="456">
        <v>5061.08</v>
      </c>
      <c r="E106" s="458"/>
    </row>
    <row r="107" spans="1:5" x14ac:dyDescent="0.2">
      <c r="A107" s="453"/>
      <c r="B107" s="293"/>
      <c r="C107" s="311" t="s">
        <v>303</v>
      </c>
      <c r="D107" s="456">
        <v>0</v>
      </c>
      <c r="E107" s="458"/>
    </row>
    <row r="108" spans="1:5" x14ac:dyDescent="0.2">
      <c r="A108" s="453"/>
      <c r="B108" s="293"/>
      <c r="C108" s="311" t="s">
        <v>304</v>
      </c>
      <c r="D108" s="456">
        <v>0</v>
      </c>
      <c r="E108" s="458"/>
    </row>
    <row r="109" spans="1:5" x14ac:dyDescent="0.2">
      <c r="A109" s="459"/>
      <c r="B109" s="460"/>
      <c r="C109" s="454" t="s">
        <v>305</v>
      </c>
      <c r="D109" s="461">
        <v>0</v>
      </c>
      <c r="E109" s="462"/>
    </row>
    <row r="110" spans="1:5" x14ac:dyDescent="0.2">
      <c r="B110" s="293"/>
      <c r="C110" s="286"/>
      <c r="D110" s="336"/>
    </row>
    <row r="111" spans="1:5" x14ac:dyDescent="0.2">
      <c r="B111" s="293"/>
      <c r="C111" s="286"/>
      <c r="D111" s="336"/>
    </row>
    <row r="112" spans="1:5" x14ac:dyDescent="0.2">
      <c r="B112" s="293"/>
      <c r="C112" s="286"/>
      <c r="D112" s="336"/>
    </row>
    <row r="113" spans="2:4" x14ac:dyDescent="0.2">
      <c r="B113" s="293"/>
      <c r="C113" s="286"/>
      <c r="D113" s="336"/>
    </row>
    <row r="114" spans="2:4" x14ac:dyDescent="0.2">
      <c r="B114" s="293"/>
      <c r="C114" s="286"/>
      <c r="D114" s="336"/>
    </row>
    <row r="115" spans="2:4" x14ac:dyDescent="0.2">
      <c r="B115" s="293"/>
      <c r="C115" s="286"/>
      <c r="D115" s="336"/>
    </row>
    <row r="116" spans="2:4" x14ac:dyDescent="0.2">
      <c r="B116" s="293"/>
      <c r="C116" s="286"/>
      <c r="D116" s="336"/>
    </row>
    <row r="117" spans="2:4" x14ac:dyDescent="0.2">
      <c r="B117" s="293"/>
      <c r="C117" s="286"/>
      <c r="D117" s="336"/>
    </row>
    <row r="118" spans="2:4" x14ac:dyDescent="0.2">
      <c r="B118" s="293"/>
      <c r="C118" s="286"/>
      <c r="D118" s="336"/>
    </row>
    <row r="119" spans="2:4" x14ac:dyDescent="0.2">
      <c r="B119" s="293"/>
      <c r="C119" s="286"/>
      <c r="D119" s="336"/>
    </row>
    <row r="120" spans="2:4" x14ac:dyDescent="0.2">
      <c r="B120" s="293"/>
      <c r="C120" s="286"/>
      <c r="D120" s="336"/>
    </row>
    <row r="121" spans="2:4" x14ac:dyDescent="0.2">
      <c r="B121" s="293"/>
      <c r="C121" s="286"/>
      <c r="D121" s="336"/>
    </row>
    <row r="122" spans="2:4" x14ac:dyDescent="0.2">
      <c r="B122" s="293"/>
      <c r="C122" s="286"/>
      <c r="D122" s="336"/>
    </row>
    <row r="123" spans="2:4" x14ac:dyDescent="0.2">
      <c r="B123" s="293"/>
      <c r="C123" s="286"/>
      <c r="D123" s="336"/>
    </row>
    <row r="124" spans="2:4" x14ac:dyDescent="0.2">
      <c r="B124" s="293"/>
      <c r="C124" s="286"/>
      <c r="D124" s="336"/>
    </row>
    <row r="125" spans="2:4" x14ac:dyDescent="0.2">
      <c r="C125" s="286"/>
      <c r="D125" s="336"/>
    </row>
    <row r="126" spans="2:4" x14ac:dyDescent="0.2">
      <c r="C126" s="286"/>
      <c r="D126" s="336"/>
    </row>
    <row r="127" spans="2:4" x14ac:dyDescent="0.2">
      <c r="C127" s="286"/>
      <c r="D127" s="336"/>
    </row>
  </sheetData>
  <mergeCells count="5">
    <mergeCell ref="B1:E1"/>
    <mergeCell ref="B2:E2"/>
    <mergeCell ref="B3:E3"/>
    <mergeCell ref="C4:D4"/>
    <mergeCell ref="A7:B7"/>
  </mergeCells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AG220"/>
  <sheetViews>
    <sheetView showGridLines="0" topLeftCell="E28" zoomScaleNormal="100" workbookViewId="0">
      <selection activeCell="N64" sqref="N64"/>
    </sheetView>
  </sheetViews>
  <sheetFormatPr baseColWidth="10" defaultColWidth="9.5703125" defaultRowHeight="14.25" x14ac:dyDescent="0.2"/>
  <cols>
    <col min="1" max="1" width="6.28515625" style="8" hidden="1" customWidth="1"/>
    <col min="2" max="2" width="2.85546875" style="8" hidden="1" customWidth="1"/>
    <col min="3" max="3" width="3.28515625" style="8" hidden="1" customWidth="1"/>
    <col min="4" max="4" width="3" style="8" hidden="1" customWidth="1"/>
    <col min="5" max="5" width="30.7109375" style="12" customWidth="1"/>
    <col min="6" max="8" width="9.5703125" style="12"/>
    <col min="9" max="11" width="0" style="12" hidden="1" customWidth="1"/>
    <col min="12" max="12" width="30.7109375" style="6" customWidth="1"/>
    <col min="13" max="13" width="9.5703125" style="6"/>
    <col min="14" max="14" width="9.85546875" style="6" bestFit="1" customWidth="1"/>
    <col min="15" max="16384" width="9.5703125" style="12"/>
  </cols>
  <sheetData>
    <row r="1" spans="1:33" ht="19.5" customHeight="1" x14ac:dyDescent="0.3">
      <c r="A1" s="349"/>
      <c r="B1" s="350"/>
      <c r="C1" s="350"/>
      <c r="D1" s="351"/>
      <c r="E1" s="569" t="s">
        <v>38</v>
      </c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1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</row>
    <row r="2" spans="1:33" ht="15" customHeight="1" x14ac:dyDescent="0.25">
      <c r="A2" s="352"/>
      <c r="B2" s="353"/>
      <c r="C2" s="353"/>
      <c r="D2" s="354"/>
      <c r="E2" s="572" t="str">
        <f>BALANZA!Q9</f>
        <v>Cuenta Pública 2016</v>
      </c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4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  <c r="AG2" s="353"/>
    </row>
    <row r="3" spans="1:33" ht="14.25" customHeight="1" x14ac:dyDescent="0.2">
      <c r="A3" s="355"/>
      <c r="B3" s="356"/>
      <c r="C3" s="356"/>
      <c r="D3" s="356"/>
      <c r="E3" s="575" t="s">
        <v>153</v>
      </c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7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</row>
    <row r="4" spans="1:33" ht="14.25" customHeight="1" x14ac:dyDescent="0.2">
      <c r="A4" s="355"/>
      <c r="B4" s="356"/>
      <c r="C4" s="356"/>
      <c r="D4" s="356"/>
      <c r="E4" s="575" t="str">
        <f>BALANZA!Q7</f>
        <v>Del 1° de Enero al 31 de marzo de 2016 y 2015</v>
      </c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7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</row>
    <row r="5" spans="1:33" ht="14.25" customHeight="1" x14ac:dyDescent="0.2">
      <c r="A5" s="355"/>
      <c r="B5" s="356"/>
      <c r="C5" s="356"/>
      <c r="D5" s="356"/>
      <c r="E5" s="575" t="s">
        <v>0</v>
      </c>
      <c r="F5" s="576"/>
      <c r="G5" s="576"/>
      <c r="H5" s="576"/>
      <c r="I5" s="576"/>
      <c r="J5" s="576"/>
      <c r="K5" s="576"/>
      <c r="L5" s="576"/>
      <c r="M5" s="576"/>
      <c r="N5" s="576"/>
      <c r="O5" s="576"/>
      <c r="P5" s="577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  <c r="AE5" s="356"/>
      <c r="AF5" s="356"/>
      <c r="AG5" s="356"/>
    </row>
    <row r="6" spans="1:33" ht="14.25" customHeight="1" x14ac:dyDescent="0.2">
      <c r="A6" s="358"/>
      <c r="B6" s="52"/>
      <c r="C6" s="52"/>
      <c r="D6" s="52"/>
      <c r="E6" s="566" t="str">
        <f>BALANZA!Q5</f>
        <v>EL COLEGIO DE TLAXCALA, A.C.</v>
      </c>
      <c r="F6" s="567"/>
      <c r="G6" s="567"/>
      <c r="H6" s="567"/>
      <c r="I6" s="567"/>
      <c r="J6" s="567"/>
      <c r="K6" s="567"/>
      <c r="L6" s="567"/>
      <c r="M6" s="567"/>
      <c r="N6" s="567"/>
      <c r="O6" s="567"/>
      <c r="P6" s="568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</row>
    <row r="7" spans="1:33" x14ac:dyDescent="0.2">
      <c r="A7" s="312"/>
      <c r="B7" s="169"/>
      <c r="C7" s="169"/>
      <c r="D7" s="169"/>
      <c r="E7" s="346"/>
      <c r="F7" s="169"/>
      <c r="G7" s="169"/>
      <c r="H7" s="169"/>
      <c r="I7" s="169"/>
      <c r="J7" s="169"/>
      <c r="K7" s="169"/>
      <c r="L7" s="169"/>
      <c r="M7" s="169"/>
      <c r="N7" s="169"/>
      <c r="O7" s="87"/>
      <c r="P7" s="313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</row>
    <row r="8" spans="1:33" ht="12.75" customHeight="1" x14ac:dyDescent="0.2">
      <c r="A8" s="314" t="s">
        <v>12</v>
      </c>
      <c r="B8" s="115" t="s">
        <v>5</v>
      </c>
      <c r="C8" s="115" t="s">
        <v>36</v>
      </c>
      <c r="D8" s="115"/>
      <c r="E8" s="314" t="s">
        <v>95</v>
      </c>
      <c r="F8" s="315" t="s">
        <v>6</v>
      </c>
      <c r="G8" s="315" t="s">
        <v>8</v>
      </c>
      <c r="H8" s="315"/>
      <c r="I8" s="315" t="s">
        <v>22</v>
      </c>
      <c r="J8" s="315" t="s">
        <v>24</v>
      </c>
      <c r="K8" s="315" t="s">
        <v>25</v>
      </c>
      <c r="L8" s="315" t="s">
        <v>33</v>
      </c>
      <c r="M8" s="315" t="s">
        <v>3</v>
      </c>
      <c r="N8" s="315" t="s">
        <v>10</v>
      </c>
      <c r="O8" s="315" t="s">
        <v>11</v>
      </c>
      <c r="P8" s="316" t="s">
        <v>3</v>
      </c>
    </row>
    <row r="9" spans="1:33" ht="12.75" customHeight="1" x14ac:dyDescent="0.2">
      <c r="A9" s="314"/>
      <c r="B9" s="115"/>
      <c r="C9" s="115"/>
      <c r="D9" s="115"/>
      <c r="E9" s="89" t="s">
        <v>3</v>
      </c>
      <c r="F9" s="71" t="s">
        <v>3</v>
      </c>
      <c r="G9" s="71" t="s">
        <v>3</v>
      </c>
      <c r="H9" s="71" t="s">
        <v>3</v>
      </c>
      <c r="I9" s="71" t="s">
        <v>3</v>
      </c>
      <c r="J9" s="71" t="s">
        <v>3</v>
      </c>
      <c r="K9" s="71" t="s">
        <v>3</v>
      </c>
      <c r="L9" s="71" t="s">
        <v>3</v>
      </c>
      <c r="M9" s="71" t="s">
        <v>3</v>
      </c>
      <c r="N9" s="71" t="s">
        <v>3</v>
      </c>
      <c r="O9" s="71" t="s">
        <v>3</v>
      </c>
      <c r="P9" s="317" t="s">
        <v>3</v>
      </c>
    </row>
    <row r="10" spans="1:33" ht="12.75" customHeight="1" x14ac:dyDescent="0.2">
      <c r="A10" s="314"/>
      <c r="B10" s="115"/>
      <c r="C10" s="115"/>
      <c r="D10" s="115"/>
      <c r="E10" s="90" t="s">
        <v>40</v>
      </c>
      <c r="F10" s="171">
        <v>2016</v>
      </c>
      <c r="G10" s="171">
        <v>2015</v>
      </c>
      <c r="H10" s="171" t="s">
        <v>3</v>
      </c>
      <c r="I10" s="171" t="s">
        <v>3</v>
      </c>
      <c r="J10" s="171" t="s">
        <v>3</v>
      </c>
      <c r="K10" s="171" t="s">
        <v>3</v>
      </c>
      <c r="L10" s="171" t="s">
        <v>40</v>
      </c>
      <c r="M10" s="171" t="s">
        <v>3</v>
      </c>
      <c r="N10" s="171">
        <v>2016</v>
      </c>
      <c r="O10" s="171">
        <v>2015</v>
      </c>
      <c r="P10" s="318" t="s">
        <v>3</v>
      </c>
    </row>
    <row r="11" spans="1:33" x14ac:dyDescent="0.2">
      <c r="A11" s="314"/>
      <c r="B11" s="115"/>
      <c r="C11" s="115"/>
      <c r="D11" s="115"/>
      <c r="E11" s="361"/>
      <c r="F11" s="315"/>
      <c r="G11" s="315"/>
      <c r="H11" s="315"/>
      <c r="I11" s="315"/>
      <c r="J11" s="315"/>
      <c r="K11" s="315"/>
      <c r="L11" s="315"/>
      <c r="M11" s="315"/>
      <c r="N11" s="115"/>
      <c r="O11" s="87"/>
      <c r="P11" s="313"/>
    </row>
    <row r="12" spans="1:33" ht="14.25" customHeight="1" x14ac:dyDescent="0.2">
      <c r="A12" s="314"/>
      <c r="B12" s="115"/>
      <c r="C12" s="115"/>
      <c r="D12" s="115"/>
      <c r="E12" s="362" t="s">
        <v>96</v>
      </c>
      <c r="F12" s="28"/>
      <c r="G12" s="29"/>
      <c r="H12" s="30"/>
      <c r="I12" s="30"/>
      <c r="J12" s="30"/>
      <c r="K12" s="30"/>
      <c r="L12" s="597" t="s">
        <v>1</v>
      </c>
      <c r="M12" s="597"/>
      <c r="N12" s="31"/>
      <c r="O12" s="31"/>
      <c r="P12" s="319"/>
    </row>
    <row r="13" spans="1:33" x14ac:dyDescent="0.2">
      <c r="A13" s="314"/>
      <c r="B13" s="115"/>
      <c r="C13" s="115"/>
      <c r="D13" s="115"/>
      <c r="E13" s="362"/>
      <c r="F13" s="33"/>
      <c r="G13" s="33"/>
      <c r="H13" s="30"/>
      <c r="I13" s="30"/>
      <c r="J13" s="30"/>
      <c r="K13" s="30"/>
      <c r="L13" s="32"/>
      <c r="M13" s="31"/>
      <c r="N13" s="17"/>
      <c r="O13" s="17"/>
      <c r="P13" s="319"/>
    </row>
    <row r="14" spans="1:33" ht="14.25" customHeight="1" x14ac:dyDescent="0.2">
      <c r="A14" s="320"/>
      <c r="B14" s="116"/>
      <c r="C14" s="116"/>
      <c r="D14" s="116"/>
      <c r="E14" s="363" t="s">
        <v>97</v>
      </c>
      <c r="F14" s="33"/>
      <c r="G14" s="33"/>
      <c r="H14" s="30"/>
      <c r="I14" s="30"/>
      <c r="J14" s="30"/>
      <c r="K14" s="30"/>
      <c r="L14" s="595" t="s">
        <v>98</v>
      </c>
      <c r="M14" s="595"/>
      <c r="N14" s="33"/>
      <c r="O14" s="33"/>
      <c r="P14" s="319"/>
    </row>
    <row r="15" spans="1:33" x14ac:dyDescent="0.2">
      <c r="A15" s="320"/>
      <c r="B15" s="116"/>
      <c r="C15" s="116"/>
      <c r="D15" s="116"/>
      <c r="E15" s="363"/>
      <c r="F15" s="33"/>
      <c r="G15" s="33"/>
      <c r="H15" s="30"/>
      <c r="I15" s="30"/>
      <c r="J15" s="30"/>
      <c r="K15" s="30"/>
      <c r="L15" s="34"/>
      <c r="M15" s="35"/>
      <c r="N15" s="33"/>
      <c r="O15" s="33"/>
      <c r="P15" s="319"/>
    </row>
    <row r="16" spans="1:33" ht="14.25" customHeight="1" x14ac:dyDescent="0.2">
      <c r="A16" s="321">
        <v>1</v>
      </c>
      <c r="B16" s="117">
        <v>1</v>
      </c>
      <c r="C16" s="117">
        <v>1</v>
      </c>
      <c r="D16" s="117"/>
      <c r="E16" s="364" t="s">
        <v>99</v>
      </c>
      <c r="F16" s="21">
        <f>BALANZA!J5</f>
        <v>5518945</v>
      </c>
      <c r="G16" s="21">
        <f>BALANZA!G5</f>
        <v>9739632</v>
      </c>
      <c r="H16" s="30"/>
      <c r="I16" s="117">
        <v>2</v>
      </c>
      <c r="J16" s="117">
        <v>1</v>
      </c>
      <c r="K16" s="117">
        <v>1</v>
      </c>
      <c r="L16" s="596" t="s">
        <v>100</v>
      </c>
      <c r="M16" s="596"/>
      <c r="N16" s="21">
        <f>BALANZA!J248</f>
        <v>5216999</v>
      </c>
      <c r="O16" s="21">
        <f>BALANZA!G248</f>
        <v>9750399</v>
      </c>
      <c r="P16" s="319"/>
    </row>
    <row r="17" spans="1:16" ht="14.25" customHeight="1" x14ac:dyDescent="0.2">
      <c r="A17" s="321">
        <v>1</v>
      </c>
      <c r="B17" s="117">
        <v>1</v>
      </c>
      <c r="C17" s="117">
        <v>2</v>
      </c>
      <c r="D17" s="117"/>
      <c r="E17" s="364" t="s">
        <v>101</v>
      </c>
      <c r="F17" s="21">
        <f>BALANZA!J39</f>
        <v>29258</v>
      </c>
      <c r="G17" s="21">
        <f>BALANZA!G39</f>
        <v>15955</v>
      </c>
      <c r="H17" s="30"/>
      <c r="I17" s="117">
        <v>2</v>
      </c>
      <c r="J17" s="117">
        <v>1</v>
      </c>
      <c r="K17" s="117">
        <v>2</v>
      </c>
      <c r="L17" s="596" t="s">
        <v>102</v>
      </c>
      <c r="M17" s="596"/>
      <c r="N17" s="21">
        <f>BALANZA!J290</f>
        <v>0</v>
      </c>
      <c r="O17" s="21">
        <f>BALANZA!G290</f>
        <v>0</v>
      </c>
      <c r="P17" s="319"/>
    </row>
    <row r="18" spans="1:16" ht="14.25" customHeight="1" x14ac:dyDescent="0.2">
      <c r="A18" s="321">
        <v>1</v>
      </c>
      <c r="B18" s="117">
        <v>1</v>
      </c>
      <c r="C18" s="117">
        <v>3</v>
      </c>
      <c r="D18" s="117"/>
      <c r="E18" s="364" t="s">
        <v>103</v>
      </c>
      <c r="F18" s="21">
        <f>BALANZA!J72</f>
        <v>0</v>
      </c>
      <c r="G18" s="21">
        <f>BALANZA!G71</f>
        <v>0</v>
      </c>
      <c r="H18" s="30"/>
      <c r="I18" s="117">
        <v>2</v>
      </c>
      <c r="J18" s="117">
        <v>1</v>
      </c>
      <c r="K18" s="117">
        <v>3</v>
      </c>
      <c r="L18" s="596" t="s">
        <v>104</v>
      </c>
      <c r="M18" s="596"/>
      <c r="N18" s="21">
        <f>BALANZA!J294</f>
        <v>0</v>
      </c>
      <c r="O18" s="21">
        <f>BALANZA!G294</f>
        <v>0</v>
      </c>
      <c r="P18" s="319"/>
    </row>
    <row r="19" spans="1:16" ht="14.25" customHeight="1" x14ac:dyDescent="0.2">
      <c r="A19" s="321">
        <v>1</v>
      </c>
      <c r="B19" s="117">
        <v>1</v>
      </c>
      <c r="C19" s="117">
        <v>4</v>
      </c>
      <c r="D19" s="117"/>
      <c r="E19" s="364" t="s">
        <v>105</v>
      </c>
      <c r="F19" s="21">
        <f>BALANZA!J77</f>
        <v>0</v>
      </c>
      <c r="G19" s="21">
        <f>BALANZA!G77</f>
        <v>0</v>
      </c>
      <c r="H19" s="30"/>
      <c r="I19" s="117">
        <v>2</v>
      </c>
      <c r="J19" s="117">
        <v>1</v>
      </c>
      <c r="K19" s="117">
        <v>4</v>
      </c>
      <c r="L19" s="596" t="s">
        <v>106</v>
      </c>
      <c r="M19" s="596"/>
      <c r="N19" s="21">
        <f>BALANZA!J298</f>
        <v>0</v>
      </c>
      <c r="O19" s="21">
        <f>BALANZA!G298</f>
        <v>0</v>
      </c>
      <c r="P19" s="319"/>
    </row>
    <row r="20" spans="1:16" ht="14.25" customHeight="1" x14ac:dyDescent="0.2">
      <c r="A20" s="321">
        <v>1</v>
      </c>
      <c r="B20" s="117">
        <v>1</v>
      </c>
      <c r="C20" s="117">
        <v>5</v>
      </c>
      <c r="D20" s="117"/>
      <c r="E20" s="364" t="s">
        <v>107</v>
      </c>
      <c r="F20" s="21">
        <f>BALANZA!J83</f>
        <v>0</v>
      </c>
      <c r="G20" s="21">
        <f>BALANZA!G83</f>
        <v>0</v>
      </c>
      <c r="H20" s="30"/>
      <c r="I20" s="117">
        <v>2</v>
      </c>
      <c r="J20" s="117">
        <v>1</v>
      </c>
      <c r="K20" s="117">
        <v>5</v>
      </c>
      <c r="L20" s="596" t="s">
        <v>108</v>
      </c>
      <c r="M20" s="596"/>
      <c r="N20" s="21">
        <f>BALANZA!J301</f>
        <v>0</v>
      </c>
      <c r="O20" s="21">
        <f>BALANZA!G301</f>
        <v>0</v>
      </c>
      <c r="P20" s="319"/>
    </row>
    <row r="21" spans="1:16" ht="14.25" customHeight="1" x14ac:dyDescent="0.2">
      <c r="A21" s="321">
        <v>1</v>
      </c>
      <c r="B21" s="117">
        <v>1</v>
      </c>
      <c r="C21" s="117">
        <v>6</v>
      </c>
      <c r="D21" s="117"/>
      <c r="E21" s="364" t="s">
        <v>109</v>
      </c>
      <c r="F21" s="21">
        <f>BALANZA!J85</f>
        <v>0</v>
      </c>
      <c r="G21" s="21">
        <f>BALANZA!G85</f>
        <v>0</v>
      </c>
      <c r="H21" s="30"/>
      <c r="I21" s="117">
        <v>2</v>
      </c>
      <c r="J21" s="117">
        <v>1</v>
      </c>
      <c r="K21" s="117">
        <v>6</v>
      </c>
      <c r="L21" s="596" t="s">
        <v>110</v>
      </c>
      <c r="M21" s="596"/>
      <c r="N21" s="21">
        <f>BALANZA!J305</f>
        <v>164472</v>
      </c>
      <c r="O21" s="21">
        <f>BALANZA!G305</f>
        <v>310862</v>
      </c>
      <c r="P21" s="319"/>
    </row>
    <row r="22" spans="1:16" ht="14.25" customHeight="1" x14ac:dyDescent="0.2">
      <c r="A22" s="321">
        <v>1</v>
      </c>
      <c r="B22" s="117">
        <v>1</v>
      </c>
      <c r="C22" s="117">
        <v>9</v>
      </c>
      <c r="D22" s="117"/>
      <c r="E22" s="364" t="s">
        <v>111</v>
      </c>
      <c r="F22" s="21">
        <f>BALANZA!J88</f>
        <v>0</v>
      </c>
      <c r="G22" s="21">
        <f>BALANZA!G88</f>
        <v>0</v>
      </c>
      <c r="H22" s="30"/>
      <c r="I22" s="117">
        <v>2</v>
      </c>
      <c r="J22" s="117">
        <v>1</v>
      </c>
      <c r="K22" s="117">
        <v>7</v>
      </c>
      <c r="L22" s="596" t="s">
        <v>112</v>
      </c>
      <c r="M22" s="596"/>
      <c r="N22" s="21">
        <f>BALANZA!J319</f>
        <v>0</v>
      </c>
      <c r="O22" s="21">
        <f>BALANZA!G319</f>
        <v>0</v>
      </c>
      <c r="P22" s="319"/>
    </row>
    <row r="23" spans="1:16" ht="14.25" customHeight="1" x14ac:dyDescent="0.2">
      <c r="A23" s="321" t="s">
        <v>3</v>
      </c>
      <c r="B23" s="117" t="s">
        <v>3</v>
      </c>
      <c r="C23" s="117" t="s">
        <v>3</v>
      </c>
      <c r="D23" s="117"/>
      <c r="E23" s="364"/>
      <c r="F23" s="37"/>
      <c r="G23" s="37"/>
      <c r="H23" s="30"/>
      <c r="I23" s="117">
        <v>2</v>
      </c>
      <c r="J23" s="117">
        <v>1</v>
      </c>
      <c r="K23" s="117">
        <v>9</v>
      </c>
      <c r="L23" s="596" t="s">
        <v>113</v>
      </c>
      <c r="M23" s="596"/>
      <c r="N23" s="21">
        <f>BALANZA!J323</f>
        <v>0</v>
      </c>
      <c r="O23" s="21">
        <f>BALANZA!G323</f>
        <v>0</v>
      </c>
      <c r="P23" s="319"/>
    </row>
    <row r="24" spans="1:16" x14ac:dyDescent="0.2">
      <c r="A24" s="321"/>
      <c r="B24" s="117"/>
      <c r="C24" s="117"/>
      <c r="D24" s="117"/>
      <c r="E24" s="363" t="s">
        <v>114</v>
      </c>
      <c r="F24" s="17">
        <f>SUM(F16:F23)</f>
        <v>5548203</v>
      </c>
      <c r="G24" s="17">
        <f>SUM(G16:G23)</f>
        <v>9755587</v>
      </c>
      <c r="H24" s="38"/>
      <c r="I24" s="117"/>
      <c r="J24" s="117"/>
      <c r="K24" s="117"/>
      <c r="L24" s="32"/>
      <c r="M24" s="31"/>
      <c r="N24" s="23"/>
      <c r="O24" s="23"/>
      <c r="P24" s="319"/>
    </row>
    <row r="25" spans="1:16" ht="14.25" customHeight="1" x14ac:dyDescent="0.2">
      <c r="A25" s="321"/>
      <c r="B25" s="117"/>
      <c r="C25" s="117"/>
      <c r="D25" s="117"/>
      <c r="E25" s="362"/>
      <c r="F25" s="23"/>
      <c r="G25" s="23"/>
      <c r="H25" s="38"/>
      <c r="I25" s="117"/>
      <c r="J25" s="117"/>
      <c r="K25" s="117"/>
      <c r="L25" s="595" t="s">
        <v>115</v>
      </c>
      <c r="M25" s="595"/>
      <c r="N25" s="17">
        <f>SUM(N16:N24)</f>
        <v>5381471</v>
      </c>
      <c r="O25" s="17">
        <f>SUM(O16:O24)</f>
        <v>10061261</v>
      </c>
      <c r="P25" s="319"/>
    </row>
    <row r="26" spans="1:16" ht="14.25" customHeight="1" x14ac:dyDescent="0.2">
      <c r="A26" s="321" t="s">
        <v>3</v>
      </c>
      <c r="B26" s="117" t="s">
        <v>3</v>
      </c>
      <c r="C26" s="117" t="s">
        <v>3</v>
      </c>
      <c r="D26" s="117"/>
      <c r="E26" s="364"/>
      <c r="F26" s="37"/>
      <c r="G26" s="37"/>
      <c r="H26" s="30"/>
      <c r="I26" s="117"/>
      <c r="J26" s="117"/>
      <c r="K26" s="117"/>
      <c r="L26" s="39"/>
      <c r="M26" s="164"/>
      <c r="N26" s="37"/>
      <c r="O26" s="37"/>
      <c r="P26" s="319"/>
    </row>
    <row r="27" spans="1:16" ht="14.25" customHeight="1" x14ac:dyDescent="0.2">
      <c r="A27" s="321" t="s">
        <v>3</v>
      </c>
      <c r="B27" s="117" t="s">
        <v>3</v>
      </c>
      <c r="C27" s="117" t="s">
        <v>3</v>
      </c>
      <c r="D27" s="117"/>
      <c r="E27" s="363" t="s">
        <v>116</v>
      </c>
      <c r="F27" s="33"/>
      <c r="G27" s="33"/>
      <c r="H27" s="30"/>
      <c r="I27" s="117"/>
      <c r="J27" s="117"/>
      <c r="K27" s="117"/>
      <c r="L27" s="595" t="s">
        <v>117</v>
      </c>
      <c r="M27" s="595"/>
      <c r="N27" s="33"/>
      <c r="O27" s="33"/>
      <c r="P27" s="319"/>
    </row>
    <row r="28" spans="1:16" x14ac:dyDescent="0.2">
      <c r="A28" s="321"/>
      <c r="B28" s="117"/>
      <c r="C28" s="117"/>
      <c r="D28" s="117"/>
      <c r="E28" s="364"/>
      <c r="F28" s="37"/>
      <c r="G28" s="37"/>
      <c r="H28" s="30"/>
      <c r="I28" s="117"/>
      <c r="J28" s="117"/>
      <c r="K28" s="117"/>
      <c r="L28" s="36"/>
      <c r="M28" s="164"/>
      <c r="N28" s="37"/>
      <c r="O28" s="37"/>
      <c r="P28" s="319"/>
    </row>
    <row r="29" spans="1:16" ht="14.25" customHeight="1" x14ac:dyDescent="0.2">
      <c r="A29" s="321">
        <v>1</v>
      </c>
      <c r="B29" s="117">
        <v>2</v>
      </c>
      <c r="C29" s="117">
        <v>1</v>
      </c>
      <c r="D29" s="117"/>
      <c r="E29" s="364" t="s">
        <v>118</v>
      </c>
      <c r="F29" s="21">
        <f>BALANZA!J40</f>
        <v>0</v>
      </c>
      <c r="G29" s="21">
        <f>BALANZA!G40</f>
        <v>0</v>
      </c>
      <c r="H29" s="30"/>
      <c r="I29" s="117">
        <v>2</v>
      </c>
      <c r="J29" s="117">
        <v>2</v>
      </c>
      <c r="K29" s="117">
        <v>1</v>
      </c>
      <c r="L29" s="596" t="s">
        <v>119</v>
      </c>
      <c r="M29" s="596"/>
      <c r="N29" s="21">
        <v>0</v>
      </c>
      <c r="O29" s="21">
        <v>0</v>
      </c>
      <c r="P29" s="319"/>
    </row>
    <row r="30" spans="1:16" ht="14.25" customHeight="1" x14ac:dyDescent="0.2">
      <c r="A30" s="321">
        <v>1</v>
      </c>
      <c r="B30" s="117">
        <v>2</v>
      </c>
      <c r="C30" s="117">
        <v>2</v>
      </c>
      <c r="D30" s="117"/>
      <c r="E30" s="364" t="s">
        <v>120</v>
      </c>
      <c r="F30" s="21">
        <f>BALANZA!J41</f>
        <v>0</v>
      </c>
      <c r="G30" s="21">
        <f>BALANZA!G41</f>
        <v>0</v>
      </c>
      <c r="H30" s="30"/>
      <c r="I30" s="117">
        <v>2</v>
      </c>
      <c r="J30" s="117">
        <v>2</v>
      </c>
      <c r="K30" s="117">
        <v>2</v>
      </c>
      <c r="L30" s="596" t="s">
        <v>121</v>
      </c>
      <c r="M30" s="596"/>
      <c r="N30" s="21">
        <v>0</v>
      </c>
      <c r="O30" s="21">
        <v>0</v>
      </c>
      <c r="P30" s="319"/>
    </row>
    <row r="31" spans="1:16" ht="14.25" customHeight="1" x14ac:dyDescent="0.2">
      <c r="A31" s="321">
        <v>1</v>
      </c>
      <c r="B31" s="117">
        <v>2</v>
      </c>
      <c r="C31" s="117">
        <v>3</v>
      </c>
      <c r="D31" s="117"/>
      <c r="E31" s="364" t="s">
        <v>122</v>
      </c>
      <c r="F31" s="21">
        <f>BALANZA!J104</f>
        <v>867420.59</v>
      </c>
      <c r="G31" s="21">
        <f>BALANZA!G104</f>
        <v>867420.59</v>
      </c>
      <c r="H31" s="30"/>
      <c r="I31" s="117">
        <v>2</v>
      </c>
      <c r="J31" s="117">
        <v>2</v>
      </c>
      <c r="K31" s="117">
        <v>3</v>
      </c>
      <c r="L31" s="596" t="s">
        <v>123</v>
      </c>
      <c r="M31" s="596"/>
      <c r="N31" s="21">
        <v>0</v>
      </c>
      <c r="O31" s="21">
        <v>0</v>
      </c>
      <c r="P31" s="319"/>
    </row>
    <row r="32" spans="1:16" ht="14.25" customHeight="1" x14ac:dyDescent="0.2">
      <c r="A32" s="321">
        <v>1</v>
      </c>
      <c r="B32" s="117">
        <v>2</v>
      </c>
      <c r="C32" s="117">
        <v>4</v>
      </c>
      <c r="D32" s="117"/>
      <c r="E32" s="364" t="s">
        <v>124</v>
      </c>
      <c r="F32" s="21">
        <f>BALANZA!J114</f>
        <v>2306176.77</v>
      </c>
      <c r="G32" s="21">
        <f>BALANZA!G114</f>
        <v>2488176.27</v>
      </c>
      <c r="H32" s="30"/>
      <c r="I32" s="117">
        <v>2</v>
      </c>
      <c r="J32" s="117">
        <v>2</v>
      </c>
      <c r="K32" s="117">
        <v>4</v>
      </c>
      <c r="L32" s="596" t="s">
        <v>125</v>
      </c>
      <c r="M32" s="596"/>
      <c r="N32" s="21">
        <v>0</v>
      </c>
      <c r="O32" s="21">
        <v>0</v>
      </c>
      <c r="P32" s="319"/>
    </row>
    <row r="33" spans="1:16" ht="14.25" customHeight="1" x14ac:dyDescent="0.2">
      <c r="A33" s="321">
        <v>1</v>
      </c>
      <c r="B33" s="117">
        <v>2</v>
      </c>
      <c r="C33" s="117">
        <v>5</v>
      </c>
      <c r="D33" s="117"/>
      <c r="E33" s="364" t="s">
        <v>126</v>
      </c>
      <c r="F33" s="21">
        <f>BALANZA!J211</f>
        <v>30712.080000000002</v>
      </c>
      <c r="G33" s="21">
        <f>BALANZA!G211</f>
        <v>30712.080000000002</v>
      </c>
      <c r="H33" s="30"/>
      <c r="I33" s="117">
        <v>2</v>
      </c>
      <c r="J33" s="117">
        <v>2</v>
      </c>
      <c r="K33" s="117">
        <v>5</v>
      </c>
      <c r="L33" s="596" t="s">
        <v>127</v>
      </c>
      <c r="M33" s="596"/>
      <c r="N33" s="21">
        <v>0</v>
      </c>
      <c r="O33" s="21">
        <v>0</v>
      </c>
      <c r="P33" s="319"/>
    </row>
    <row r="34" spans="1:16" ht="14.25" customHeight="1" x14ac:dyDescent="0.2">
      <c r="A34" s="321">
        <v>1</v>
      </c>
      <c r="B34" s="117">
        <v>2</v>
      </c>
      <c r="C34" s="117">
        <v>6</v>
      </c>
      <c r="D34" s="117"/>
      <c r="E34" s="364" t="s">
        <v>128</v>
      </c>
      <c r="F34" s="21">
        <f>BALANZA!J222</f>
        <v>0</v>
      </c>
      <c r="G34" s="21">
        <f>BALANZA!G222</f>
        <v>0</v>
      </c>
      <c r="H34" s="30"/>
      <c r="I34" s="117">
        <v>2</v>
      </c>
      <c r="J34" s="117">
        <v>2</v>
      </c>
      <c r="K34" s="117">
        <v>6</v>
      </c>
      <c r="L34" s="596" t="s">
        <v>129</v>
      </c>
      <c r="M34" s="596"/>
      <c r="N34" s="21">
        <v>0</v>
      </c>
      <c r="O34" s="21">
        <v>0</v>
      </c>
      <c r="P34" s="319"/>
    </row>
    <row r="35" spans="1:16" x14ac:dyDescent="0.2">
      <c r="A35" s="321">
        <v>1</v>
      </c>
      <c r="B35" s="117">
        <v>2</v>
      </c>
      <c r="C35" s="117">
        <v>7</v>
      </c>
      <c r="D35" s="117"/>
      <c r="E35" s="364" t="s">
        <v>130</v>
      </c>
      <c r="F35" s="21">
        <f>BALANZA!J228</f>
        <v>15000</v>
      </c>
      <c r="G35" s="21">
        <f>BALANZA!G228</f>
        <v>15000</v>
      </c>
      <c r="H35" s="30"/>
      <c r="I35" s="117"/>
      <c r="J35" s="117"/>
      <c r="K35" s="117"/>
      <c r="L35" s="36"/>
      <c r="M35" s="164"/>
      <c r="N35" s="37"/>
      <c r="O35" s="37"/>
      <c r="P35" s="319"/>
    </row>
    <row r="36" spans="1:16" ht="14.25" customHeight="1" x14ac:dyDescent="0.2">
      <c r="A36" s="321">
        <v>1</v>
      </c>
      <c r="B36" s="117">
        <v>2</v>
      </c>
      <c r="C36" s="117">
        <v>8</v>
      </c>
      <c r="D36" s="117"/>
      <c r="E36" s="364" t="s">
        <v>131</v>
      </c>
      <c r="F36" s="21">
        <f>BALANZA!J237</f>
        <v>0</v>
      </c>
      <c r="G36" s="21">
        <f>BALANZA!G237</f>
        <v>0</v>
      </c>
      <c r="H36" s="30"/>
      <c r="I36" s="117"/>
      <c r="J36" s="117"/>
      <c r="K36" s="117"/>
      <c r="L36" s="595" t="s">
        <v>132</v>
      </c>
      <c r="M36" s="595"/>
      <c r="N36" s="17">
        <f>SUM(N29:N35)</f>
        <v>0</v>
      </c>
      <c r="O36" s="17">
        <f>SUM(O29:O35)</f>
        <v>0</v>
      </c>
      <c r="P36" s="319"/>
    </row>
    <row r="37" spans="1:16" x14ac:dyDescent="0.2">
      <c r="A37" s="321">
        <v>1</v>
      </c>
      <c r="B37" s="117">
        <v>2</v>
      </c>
      <c r="C37" s="117">
        <v>9</v>
      </c>
      <c r="D37" s="117"/>
      <c r="E37" s="364" t="s">
        <v>133</v>
      </c>
      <c r="F37" s="21">
        <f>BALANZA!J242</f>
        <v>0</v>
      </c>
      <c r="G37" s="21">
        <f>BALANZA!G242</f>
        <v>0</v>
      </c>
      <c r="H37" s="30"/>
      <c r="I37" s="117"/>
      <c r="J37" s="117"/>
      <c r="K37" s="117"/>
      <c r="L37" s="32"/>
      <c r="M37" s="165"/>
      <c r="N37" s="23"/>
      <c r="O37" s="23"/>
      <c r="P37" s="319"/>
    </row>
    <row r="38" spans="1:16" ht="14.25" customHeight="1" x14ac:dyDescent="0.2">
      <c r="A38" s="321"/>
      <c r="B38" s="117"/>
      <c r="C38" s="117"/>
      <c r="D38" s="117"/>
      <c r="E38" s="364"/>
      <c r="F38" s="37"/>
      <c r="G38" s="37"/>
      <c r="H38" s="30"/>
      <c r="I38" s="117"/>
      <c r="J38" s="117"/>
      <c r="K38" s="117"/>
      <c r="L38" s="595" t="s">
        <v>134</v>
      </c>
      <c r="M38" s="595"/>
      <c r="N38" s="17">
        <f>N25+N36</f>
        <v>5381471</v>
      </c>
      <c r="O38" s="17">
        <f>O25+O36</f>
        <v>10061261</v>
      </c>
      <c r="P38" s="319"/>
    </row>
    <row r="39" spans="1:16" ht="24" x14ac:dyDescent="0.2">
      <c r="A39" s="321"/>
      <c r="B39" s="117"/>
      <c r="C39" s="117"/>
      <c r="D39" s="117"/>
      <c r="E39" s="363" t="s">
        <v>135</v>
      </c>
      <c r="F39" s="17">
        <f>SUM(F29:F38)+1</f>
        <v>3219310.44</v>
      </c>
      <c r="G39" s="17">
        <f>SUM(G29:G38)-1</f>
        <v>3401307.94</v>
      </c>
      <c r="H39" s="38"/>
      <c r="I39" s="117"/>
      <c r="J39" s="117"/>
      <c r="K39" s="117"/>
      <c r="L39" s="32"/>
      <c r="M39" s="170"/>
      <c r="N39" s="23"/>
      <c r="O39" s="23"/>
      <c r="P39" s="319"/>
    </row>
    <row r="40" spans="1:16" ht="14.25" customHeight="1" x14ac:dyDescent="0.2">
      <c r="A40" s="321"/>
      <c r="B40" s="117"/>
      <c r="C40" s="117"/>
      <c r="D40" s="117"/>
      <c r="E40" s="364"/>
      <c r="F40" s="37"/>
      <c r="G40" s="37"/>
      <c r="H40" s="30"/>
      <c r="I40" s="117"/>
      <c r="J40" s="117"/>
      <c r="K40" s="117"/>
      <c r="L40" s="597" t="s">
        <v>136</v>
      </c>
      <c r="M40" s="597"/>
      <c r="N40" s="37"/>
      <c r="O40" s="37"/>
      <c r="P40" s="319"/>
    </row>
    <row r="41" spans="1:16" x14ac:dyDescent="0.2">
      <c r="A41" s="321"/>
      <c r="B41" s="117"/>
      <c r="C41" s="117"/>
      <c r="D41" s="117"/>
      <c r="E41" s="363" t="s">
        <v>137</v>
      </c>
      <c r="F41" s="17">
        <f>F24+F39</f>
        <v>8767513.4399999995</v>
      </c>
      <c r="G41" s="17">
        <f>G24+G39</f>
        <v>13156894.939999999</v>
      </c>
      <c r="H41" s="30"/>
      <c r="I41" s="117"/>
      <c r="J41" s="117"/>
      <c r="K41" s="117"/>
      <c r="L41" s="32"/>
      <c r="M41" s="170"/>
      <c r="N41" s="37"/>
      <c r="O41" s="37"/>
      <c r="P41" s="319"/>
    </row>
    <row r="42" spans="1:16" ht="14.25" customHeight="1" x14ac:dyDescent="0.2">
      <c r="A42" s="321"/>
      <c r="B42" s="117"/>
      <c r="C42" s="117"/>
      <c r="D42" s="117"/>
      <c r="E42" s="360"/>
      <c r="F42" s="37"/>
      <c r="G42" s="37"/>
      <c r="H42" s="30"/>
      <c r="I42" s="117"/>
      <c r="J42" s="117"/>
      <c r="K42" s="117"/>
      <c r="L42" s="595" t="s">
        <v>138</v>
      </c>
      <c r="M42" s="595"/>
      <c r="N42" s="17">
        <f>SUM(N44:N46)</f>
        <v>0</v>
      </c>
      <c r="O42" s="17">
        <f>SUM(O44:O46)</f>
        <v>0</v>
      </c>
      <c r="P42" s="319"/>
    </row>
    <row r="43" spans="1:16" x14ac:dyDescent="0.2">
      <c r="A43" s="321"/>
      <c r="B43" s="117"/>
      <c r="C43" s="117"/>
      <c r="D43" s="117"/>
      <c r="E43" s="360"/>
      <c r="F43" s="37"/>
      <c r="G43" s="37"/>
      <c r="H43" s="30"/>
      <c r="I43" s="117"/>
      <c r="J43" s="117"/>
      <c r="K43" s="117"/>
      <c r="L43" s="36"/>
      <c r="M43" s="29"/>
      <c r="N43" s="37"/>
      <c r="O43" s="37"/>
      <c r="P43" s="319"/>
    </row>
    <row r="44" spans="1:16" ht="14.25" customHeight="1" x14ac:dyDescent="0.2">
      <c r="A44" s="321"/>
      <c r="B44" s="117"/>
      <c r="C44" s="117"/>
      <c r="D44" s="117"/>
      <c r="E44" s="360"/>
      <c r="F44" s="37"/>
      <c r="G44" s="37"/>
      <c r="H44" s="30"/>
      <c r="I44" s="117">
        <v>3</v>
      </c>
      <c r="J44" s="117">
        <v>1</v>
      </c>
      <c r="K44" s="117">
        <v>1</v>
      </c>
      <c r="L44" s="596" t="s">
        <v>76</v>
      </c>
      <c r="M44" s="596"/>
      <c r="N44" s="21">
        <v>0</v>
      </c>
      <c r="O44" s="21">
        <v>0</v>
      </c>
      <c r="P44" s="319"/>
    </row>
    <row r="45" spans="1:16" ht="14.25" customHeight="1" x14ac:dyDescent="0.2">
      <c r="A45" s="321"/>
      <c r="B45" s="117"/>
      <c r="C45" s="117"/>
      <c r="D45" s="117"/>
      <c r="E45" s="360"/>
      <c r="F45" s="40"/>
      <c r="G45" s="37"/>
      <c r="H45" s="30"/>
      <c r="I45" s="117">
        <v>3</v>
      </c>
      <c r="J45" s="117">
        <v>1</v>
      </c>
      <c r="K45" s="117">
        <v>2</v>
      </c>
      <c r="L45" s="596" t="s">
        <v>139</v>
      </c>
      <c r="M45" s="596"/>
      <c r="N45" s="21">
        <v>0</v>
      </c>
      <c r="O45" s="21">
        <v>0</v>
      </c>
      <c r="P45" s="319"/>
    </row>
    <row r="46" spans="1:16" ht="14.25" customHeight="1" x14ac:dyDescent="0.2">
      <c r="A46" s="321"/>
      <c r="B46" s="117"/>
      <c r="C46" s="117"/>
      <c r="D46" s="117"/>
      <c r="E46" s="360"/>
      <c r="F46" s="40"/>
      <c r="G46" s="37"/>
      <c r="H46" s="30"/>
      <c r="I46" s="117">
        <v>3</v>
      </c>
      <c r="J46" s="117">
        <v>1</v>
      </c>
      <c r="K46" s="117">
        <v>3</v>
      </c>
      <c r="L46" s="596" t="s">
        <v>140</v>
      </c>
      <c r="M46" s="596"/>
      <c r="N46" s="21">
        <v>0</v>
      </c>
      <c r="O46" s="21">
        <v>0</v>
      </c>
      <c r="P46" s="319"/>
    </row>
    <row r="47" spans="1:16" ht="14.25" customHeight="1" x14ac:dyDescent="0.2">
      <c r="A47" s="321"/>
      <c r="B47" s="117"/>
      <c r="C47" s="117"/>
      <c r="D47" s="117"/>
      <c r="E47" s="347"/>
      <c r="F47" s="40"/>
      <c r="G47" s="37"/>
      <c r="H47" s="30"/>
      <c r="I47" s="117"/>
      <c r="J47" s="117"/>
      <c r="K47" s="117"/>
      <c r="L47" s="36"/>
      <c r="M47" s="29"/>
      <c r="N47" s="37"/>
      <c r="O47" s="37"/>
      <c r="P47" s="319"/>
    </row>
    <row r="48" spans="1:16" ht="14.25" customHeight="1" x14ac:dyDescent="0.2">
      <c r="A48" s="321"/>
      <c r="B48" s="117"/>
      <c r="C48" s="117"/>
      <c r="D48" s="117"/>
      <c r="E48" s="347"/>
      <c r="F48" s="40"/>
      <c r="G48" s="37"/>
      <c r="H48" s="30"/>
      <c r="I48" s="117"/>
      <c r="J48" s="117"/>
      <c r="K48" s="117"/>
      <c r="L48" s="595" t="s">
        <v>141</v>
      </c>
      <c r="M48" s="595"/>
      <c r="N48" s="17">
        <f>SUM(N50:N54)</f>
        <v>181731.82</v>
      </c>
      <c r="O48" s="17">
        <f>SUM(O50:O54)</f>
        <v>-290674.18</v>
      </c>
      <c r="P48" s="319"/>
    </row>
    <row r="49" spans="1:16" x14ac:dyDescent="0.2">
      <c r="A49" s="321"/>
      <c r="B49" s="117"/>
      <c r="C49" s="117"/>
      <c r="D49" s="117"/>
      <c r="E49" s="347"/>
      <c r="F49" s="40"/>
      <c r="G49" s="37"/>
      <c r="H49" s="30"/>
      <c r="I49" s="117"/>
      <c r="J49" s="117"/>
      <c r="K49" s="117"/>
      <c r="L49" s="32"/>
      <c r="M49" s="29"/>
      <c r="N49" s="41"/>
      <c r="O49" s="41"/>
      <c r="P49" s="319"/>
    </row>
    <row r="50" spans="1:16" ht="14.25" customHeight="1" x14ac:dyDescent="0.2">
      <c r="A50" s="321"/>
      <c r="B50" s="117"/>
      <c r="C50" s="117"/>
      <c r="D50" s="117"/>
      <c r="E50" s="347"/>
      <c r="F50" s="40"/>
      <c r="G50" s="37"/>
      <c r="H50" s="30"/>
      <c r="I50" s="117">
        <v>3</v>
      </c>
      <c r="J50" s="117">
        <v>2</v>
      </c>
      <c r="K50" s="117">
        <v>1</v>
      </c>
      <c r="L50" s="596" t="s">
        <v>142</v>
      </c>
      <c r="M50" s="596"/>
      <c r="N50" s="21">
        <f>BALANZA!J393</f>
        <v>472406</v>
      </c>
      <c r="O50" s="21">
        <f>BALANZA!G363</f>
        <v>0</v>
      </c>
      <c r="P50" s="319"/>
    </row>
    <row r="51" spans="1:16" ht="14.25" customHeight="1" x14ac:dyDescent="0.2">
      <c r="A51" s="321"/>
      <c r="B51" s="117"/>
      <c r="C51" s="117"/>
      <c r="D51" s="117"/>
      <c r="E51" s="347"/>
      <c r="F51" s="40"/>
      <c r="G51" s="37"/>
      <c r="H51" s="30" t="s">
        <v>3</v>
      </c>
      <c r="I51" s="117">
        <v>3</v>
      </c>
      <c r="J51" s="117">
        <v>2</v>
      </c>
      <c r="K51" s="117">
        <v>2</v>
      </c>
      <c r="L51" s="596" t="s">
        <v>143</v>
      </c>
      <c r="M51" s="596"/>
      <c r="N51" s="21">
        <f>BALANZA!J364</f>
        <v>-290674.18</v>
      </c>
      <c r="O51" s="21">
        <f>BALANZA!G364</f>
        <v>-290674.18</v>
      </c>
      <c r="P51" s="319"/>
    </row>
    <row r="52" spans="1:16" ht="14.25" customHeight="1" x14ac:dyDescent="0.2">
      <c r="A52" s="321"/>
      <c r="B52" s="117"/>
      <c r="C52" s="117"/>
      <c r="D52" s="117"/>
      <c r="E52" s="347"/>
      <c r="F52" s="40"/>
      <c r="G52" s="37"/>
      <c r="H52" s="30"/>
      <c r="I52" s="117">
        <v>3</v>
      </c>
      <c r="J52" s="117">
        <v>2</v>
      </c>
      <c r="K52" s="117">
        <v>3</v>
      </c>
      <c r="L52" s="596" t="s">
        <v>144</v>
      </c>
      <c r="M52" s="596"/>
      <c r="N52" s="21">
        <f>BALANZA!J380</f>
        <v>0</v>
      </c>
      <c r="O52" s="21">
        <f>BALANZA!G380</f>
        <v>0</v>
      </c>
      <c r="P52" s="319"/>
    </row>
    <row r="53" spans="1:16" ht="14.25" customHeight="1" x14ac:dyDescent="0.2">
      <c r="A53" s="321"/>
      <c r="B53" s="117"/>
      <c r="C53" s="117"/>
      <c r="D53" s="117"/>
      <c r="E53" s="347"/>
      <c r="F53" s="37"/>
      <c r="G53" s="37"/>
      <c r="H53" s="30"/>
      <c r="I53" s="117">
        <v>3</v>
      </c>
      <c r="J53" s="117">
        <v>2</v>
      </c>
      <c r="K53" s="117">
        <v>4</v>
      </c>
      <c r="L53" s="596" t="s">
        <v>145</v>
      </c>
      <c r="M53" s="596"/>
      <c r="N53" s="21">
        <f>BALANZA!J385</f>
        <v>0</v>
      </c>
      <c r="O53" s="21">
        <f>BALANZA!G385</f>
        <v>0</v>
      </c>
      <c r="P53" s="319"/>
    </row>
    <row r="54" spans="1:16" ht="14.25" customHeight="1" x14ac:dyDescent="0.2">
      <c r="A54" s="321"/>
      <c r="B54" s="117"/>
      <c r="C54" s="117"/>
      <c r="D54" s="117"/>
      <c r="E54" s="347"/>
      <c r="F54" s="37"/>
      <c r="G54" s="37"/>
      <c r="H54" s="30"/>
      <c r="I54" s="117">
        <v>3</v>
      </c>
      <c r="J54" s="117">
        <v>2</v>
      </c>
      <c r="K54" s="117">
        <v>5</v>
      </c>
      <c r="L54" s="596" t="s">
        <v>146</v>
      </c>
      <c r="M54" s="596"/>
      <c r="N54" s="21">
        <f>BALANZA!J389</f>
        <v>0</v>
      </c>
      <c r="O54" s="21">
        <f>BALANZA!G389</f>
        <v>0</v>
      </c>
      <c r="P54" s="319"/>
    </row>
    <row r="55" spans="1:16" x14ac:dyDescent="0.2">
      <c r="A55" s="321"/>
      <c r="B55" s="117"/>
      <c r="C55" s="117"/>
      <c r="D55" s="117"/>
      <c r="E55" s="347"/>
      <c r="F55" s="37"/>
      <c r="G55" s="37"/>
      <c r="H55" s="30"/>
      <c r="I55" s="117"/>
      <c r="J55" s="117"/>
      <c r="K55" s="117"/>
      <c r="L55" s="36"/>
      <c r="M55" s="29"/>
      <c r="N55" s="37"/>
      <c r="O55" s="37"/>
      <c r="P55" s="319"/>
    </row>
    <row r="56" spans="1:16" ht="14.25" customHeight="1" x14ac:dyDescent="0.2">
      <c r="A56" s="321"/>
      <c r="B56" s="117"/>
      <c r="C56" s="117"/>
      <c r="D56" s="117"/>
      <c r="E56" s="347"/>
      <c r="F56" s="37"/>
      <c r="G56" s="37"/>
      <c r="H56" s="30"/>
      <c r="I56" s="117"/>
      <c r="J56" s="117"/>
      <c r="K56" s="117"/>
      <c r="L56" s="595" t="s">
        <v>147</v>
      </c>
      <c r="M56" s="595"/>
      <c r="N56" s="17">
        <f>SUM(N58:N59)</f>
        <v>3204310</v>
      </c>
      <c r="O56" s="17">
        <f>SUM(O58:O59)</f>
        <v>3386308</v>
      </c>
      <c r="P56" s="319"/>
    </row>
    <row r="57" spans="1:16" x14ac:dyDescent="0.2">
      <c r="A57" s="321"/>
      <c r="B57" s="117"/>
      <c r="C57" s="117"/>
      <c r="D57" s="117"/>
      <c r="E57" s="347"/>
      <c r="F57" s="37"/>
      <c r="G57" s="37"/>
      <c r="H57" s="30"/>
      <c r="I57" s="117"/>
      <c r="J57" s="117"/>
      <c r="K57" s="117"/>
      <c r="L57" s="36"/>
      <c r="M57" s="29"/>
      <c r="N57" s="37"/>
      <c r="O57" s="37"/>
      <c r="P57" s="319"/>
    </row>
    <row r="58" spans="1:16" ht="14.25" customHeight="1" x14ac:dyDescent="0.2">
      <c r="A58" s="321"/>
      <c r="B58" s="117"/>
      <c r="C58" s="117"/>
      <c r="D58" s="117"/>
      <c r="E58" s="347"/>
      <c r="F58" s="37"/>
      <c r="G58" s="37"/>
      <c r="H58" s="30"/>
      <c r="I58" s="117">
        <v>3</v>
      </c>
      <c r="J58" s="117">
        <v>3</v>
      </c>
      <c r="K58" s="117">
        <v>1</v>
      </c>
      <c r="L58" s="596" t="s">
        <v>148</v>
      </c>
      <c r="M58" s="596"/>
      <c r="N58" s="21">
        <v>0</v>
      </c>
      <c r="O58" s="21">
        <v>0</v>
      </c>
      <c r="P58" s="319"/>
    </row>
    <row r="59" spans="1:16" ht="14.25" customHeight="1" x14ac:dyDescent="0.2">
      <c r="A59" s="321"/>
      <c r="B59" s="117"/>
      <c r="C59" s="117"/>
      <c r="D59" s="117"/>
      <c r="E59" s="347"/>
      <c r="F59" s="37"/>
      <c r="G59" s="37"/>
      <c r="H59" s="30"/>
      <c r="I59" s="117">
        <v>3</v>
      </c>
      <c r="J59" s="117">
        <v>3</v>
      </c>
      <c r="K59" s="117">
        <v>2</v>
      </c>
      <c r="L59" s="596" t="s">
        <v>149</v>
      </c>
      <c r="M59" s="596"/>
      <c r="N59" s="21">
        <f>BALANZA!J394+1</f>
        <v>3204310</v>
      </c>
      <c r="O59" s="21">
        <f>BALANZA!G394</f>
        <v>3386308</v>
      </c>
      <c r="P59" s="319"/>
    </row>
    <row r="60" spans="1:16" x14ac:dyDescent="0.2">
      <c r="A60" s="321"/>
      <c r="B60" s="117"/>
      <c r="C60" s="117"/>
      <c r="D60" s="117"/>
      <c r="E60" s="347"/>
      <c r="F60" s="37"/>
      <c r="G60" s="37"/>
      <c r="H60" s="30"/>
      <c r="I60" s="117"/>
      <c r="J60" s="117"/>
      <c r="K60" s="117"/>
      <c r="L60" s="36"/>
      <c r="M60" s="162"/>
      <c r="N60" s="37"/>
      <c r="O60" s="37"/>
      <c r="P60" s="319"/>
    </row>
    <row r="61" spans="1:16" ht="14.25" customHeight="1" x14ac:dyDescent="0.2">
      <c r="A61" s="321"/>
      <c r="B61" s="117"/>
      <c r="C61" s="117"/>
      <c r="D61" s="117"/>
      <c r="E61" s="347"/>
      <c r="F61" s="37"/>
      <c r="G61" s="37"/>
      <c r="H61" s="30"/>
      <c r="I61" s="117"/>
      <c r="J61" s="117"/>
      <c r="K61" s="117"/>
      <c r="L61" s="595" t="s">
        <v>150</v>
      </c>
      <c r="M61" s="595"/>
      <c r="N61" s="17">
        <f>N42+N48+N56</f>
        <v>3386041.82</v>
      </c>
      <c r="O61" s="17">
        <f>O42+O48+O56</f>
        <v>3095633.82</v>
      </c>
      <c r="P61" s="319"/>
    </row>
    <row r="62" spans="1:16" x14ac:dyDescent="0.2">
      <c r="A62" s="321"/>
      <c r="B62" s="117"/>
      <c r="C62" s="117"/>
      <c r="D62" s="117"/>
      <c r="E62" s="347"/>
      <c r="F62" s="37"/>
      <c r="G62" s="37"/>
      <c r="H62" s="30"/>
      <c r="I62" s="117"/>
      <c r="J62" s="117"/>
      <c r="K62" s="117"/>
      <c r="L62" s="36"/>
      <c r="M62" s="29"/>
      <c r="N62" s="37"/>
      <c r="O62" s="37"/>
      <c r="P62" s="319"/>
    </row>
    <row r="63" spans="1:16" ht="14.25" customHeight="1" x14ac:dyDescent="0.2">
      <c r="A63" s="322"/>
      <c r="B63" s="323"/>
      <c r="C63" s="323"/>
      <c r="D63" s="323"/>
      <c r="E63" s="348"/>
      <c r="F63" s="325"/>
      <c r="G63" s="325"/>
      <c r="H63" s="326"/>
      <c r="I63" s="323"/>
      <c r="J63" s="323"/>
      <c r="K63" s="323"/>
      <c r="L63" s="594" t="s">
        <v>151</v>
      </c>
      <c r="M63" s="594"/>
      <c r="N63" s="327">
        <f>N61+N38</f>
        <v>8767512.8200000003</v>
      </c>
      <c r="O63" s="327">
        <f>O61+O38</f>
        <v>13156894.82</v>
      </c>
      <c r="P63" s="328"/>
    </row>
    <row r="64" spans="1:16" x14ac:dyDescent="0.2">
      <c r="A64" s="329"/>
      <c r="B64" s="329"/>
      <c r="C64" s="329"/>
      <c r="D64" s="329"/>
      <c r="E64" s="330"/>
      <c r="F64" s="331"/>
      <c r="G64" s="331"/>
      <c r="H64" s="332"/>
      <c r="I64" s="332"/>
      <c r="J64" s="332"/>
      <c r="K64" s="332"/>
      <c r="L64" s="333"/>
      <c r="M64" s="334"/>
      <c r="N64" s="331"/>
      <c r="O64" s="331"/>
      <c r="P64" s="335"/>
    </row>
    <row r="65" spans="1:16" x14ac:dyDescent="0.2">
      <c r="E65" s="581" t="s">
        <v>152</v>
      </c>
      <c r="F65" s="581"/>
      <c r="G65" s="581"/>
      <c r="H65" s="581"/>
      <c r="I65" s="581"/>
      <c r="J65" s="581"/>
      <c r="K65" s="581"/>
      <c r="L65" s="581"/>
      <c r="M65" s="581"/>
      <c r="N65" s="581"/>
      <c r="O65" s="581"/>
      <c r="P65" s="45"/>
    </row>
    <row r="66" spans="1:16" x14ac:dyDescent="0.2">
      <c r="E66" s="29"/>
      <c r="F66" s="43"/>
      <c r="G66" s="43"/>
      <c r="H66" s="45"/>
      <c r="I66" s="45"/>
      <c r="J66" s="45"/>
      <c r="K66" s="45"/>
      <c r="L66" s="44"/>
      <c r="M66" s="46"/>
      <c r="N66" s="43"/>
      <c r="O66" s="43"/>
      <c r="P66" s="45"/>
    </row>
    <row r="67" spans="1:16" x14ac:dyDescent="0.2">
      <c r="E67" s="29"/>
      <c r="F67" s="43"/>
      <c r="G67" s="43"/>
      <c r="H67" s="45"/>
      <c r="I67" s="45"/>
      <c r="J67" s="45"/>
      <c r="K67" s="45"/>
      <c r="L67" s="44"/>
      <c r="M67" s="46"/>
      <c r="N67" s="43"/>
      <c r="O67" s="43"/>
      <c r="P67" s="45"/>
    </row>
    <row r="68" spans="1:16" x14ac:dyDescent="0.2">
      <c r="E68" s="48" t="str">
        <f>BALANZA!Q1</f>
        <v>Dr. Alfredo Cuecuecha Mendoza</v>
      </c>
      <c r="F68" s="166"/>
      <c r="G68" s="43"/>
      <c r="H68" s="43"/>
      <c r="I68" s="43"/>
      <c r="J68" s="43"/>
      <c r="K68" s="43"/>
      <c r="L68" s="579" t="str">
        <f>BALANZA!Q3</f>
        <v>C.P. José Santiago Ortega Vega</v>
      </c>
      <c r="M68" s="579"/>
      <c r="N68" s="31"/>
      <c r="O68" s="43"/>
      <c r="P68" s="45"/>
    </row>
    <row r="69" spans="1:16" ht="14.25" customHeight="1" x14ac:dyDescent="0.2">
      <c r="E69" s="158" t="str">
        <f>BALANZA!Q2</f>
        <v>Presidente de la Junta de Gobierno</v>
      </c>
      <c r="F69" s="163"/>
      <c r="G69" s="47"/>
      <c r="H69" s="47"/>
      <c r="I69" s="47"/>
      <c r="J69" s="47"/>
      <c r="K69" s="47"/>
      <c r="L69" s="580" t="str">
        <f>BALANZA!Q4</f>
        <v>Director Administrativo</v>
      </c>
      <c r="M69" s="580"/>
      <c r="N69" s="31"/>
      <c r="O69" s="43"/>
      <c r="P69" s="45"/>
    </row>
    <row r="70" spans="1:16" x14ac:dyDescent="0.2">
      <c r="E70" s="2"/>
      <c r="F70" s="9"/>
      <c r="G70" s="9"/>
      <c r="H70" s="9"/>
      <c r="I70" s="9"/>
      <c r="J70" s="9"/>
      <c r="K70" s="9"/>
      <c r="L70" s="27"/>
      <c r="M70" s="27"/>
    </row>
    <row r="71" spans="1:16" x14ac:dyDescent="0.2">
      <c r="E71" s="2"/>
      <c r="F71" s="9"/>
      <c r="G71" s="9"/>
      <c r="H71" s="9"/>
      <c r="I71" s="9"/>
      <c r="J71" s="9"/>
      <c r="K71" s="9"/>
      <c r="L71" s="27"/>
      <c r="M71" s="27"/>
    </row>
    <row r="72" spans="1:16" x14ac:dyDescent="0.2">
      <c r="A72" s="10" t="s">
        <v>23</v>
      </c>
      <c r="E72" s="2"/>
      <c r="F72" s="9"/>
      <c r="G72" s="9"/>
      <c r="H72" s="9"/>
      <c r="I72" s="10" t="s">
        <v>23</v>
      </c>
      <c r="J72" s="8"/>
      <c r="K72" s="8"/>
      <c r="L72" s="2"/>
      <c r="M72" s="27"/>
    </row>
    <row r="73" spans="1:16" x14ac:dyDescent="0.2">
      <c r="A73" s="8" t="s">
        <v>12</v>
      </c>
      <c r="B73" s="10" t="s">
        <v>13</v>
      </c>
      <c r="E73" s="2"/>
      <c r="F73" s="9"/>
      <c r="G73" s="9"/>
      <c r="H73" s="9"/>
      <c r="I73" s="8" t="s">
        <v>22</v>
      </c>
      <c r="J73" s="10" t="s">
        <v>13</v>
      </c>
      <c r="K73" s="8"/>
      <c r="L73" s="2"/>
      <c r="M73" s="27"/>
    </row>
    <row r="74" spans="1:16" x14ac:dyDescent="0.2">
      <c r="A74" s="8" t="s">
        <v>5</v>
      </c>
      <c r="B74" s="10" t="s">
        <v>14</v>
      </c>
      <c r="E74" s="2"/>
      <c r="F74" s="9"/>
      <c r="G74" s="9"/>
      <c r="H74" s="9"/>
      <c r="I74" s="8" t="s">
        <v>24</v>
      </c>
      <c r="J74" s="10" t="s">
        <v>14</v>
      </c>
      <c r="K74" s="8"/>
      <c r="L74" s="2"/>
      <c r="M74" s="27"/>
    </row>
    <row r="75" spans="1:16" x14ac:dyDescent="0.2">
      <c r="A75" s="8" t="s">
        <v>15</v>
      </c>
      <c r="B75" s="10" t="s">
        <v>16</v>
      </c>
      <c r="E75" s="2"/>
      <c r="F75" s="9"/>
      <c r="G75" s="9"/>
      <c r="H75" s="9"/>
      <c r="I75" s="8" t="s">
        <v>25</v>
      </c>
      <c r="J75" s="10" t="s">
        <v>16</v>
      </c>
      <c r="K75" s="8"/>
      <c r="L75" s="2"/>
      <c r="M75" s="27"/>
    </row>
    <row r="76" spans="1:16" x14ac:dyDescent="0.2">
      <c r="A76" s="8" t="s">
        <v>17</v>
      </c>
      <c r="B76" s="10" t="s">
        <v>19</v>
      </c>
      <c r="E76" s="2"/>
      <c r="F76" s="9"/>
      <c r="G76" s="9"/>
      <c r="H76" s="9"/>
      <c r="I76" s="8" t="s">
        <v>33</v>
      </c>
      <c r="J76" s="10" t="s">
        <v>19</v>
      </c>
      <c r="K76" s="8"/>
      <c r="L76" s="2"/>
      <c r="M76" s="27"/>
    </row>
    <row r="77" spans="1:16" x14ac:dyDescent="0.2">
      <c r="A77" s="8" t="s">
        <v>6</v>
      </c>
      <c r="B77" s="10" t="s">
        <v>21</v>
      </c>
      <c r="E77" s="2"/>
      <c r="F77" s="9"/>
      <c r="G77" s="9"/>
      <c r="H77" s="9"/>
      <c r="I77" s="8" t="s">
        <v>10</v>
      </c>
      <c r="J77" s="10" t="s">
        <v>21</v>
      </c>
      <c r="K77" s="8"/>
      <c r="L77" s="2"/>
      <c r="M77" s="27"/>
    </row>
    <row r="78" spans="1:16" x14ac:dyDescent="0.2">
      <c r="A78" s="8" t="s">
        <v>20</v>
      </c>
      <c r="B78" s="10" t="s">
        <v>37</v>
      </c>
      <c r="E78" s="2"/>
      <c r="F78" s="9"/>
      <c r="G78" s="9"/>
      <c r="H78" s="9"/>
      <c r="I78" s="8" t="s">
        <v>27</v>
      </c>
      <c r="J78" s="10" t="s">
        <v>37</v>
      </c>
      <c r="K78" s="8"/>
      <c r="L78" s="2"/>
      <c r="M78" s="27"/>
    </row>
    <row r="79" spans="1:16" x14ac:dyDescent="0.2">
      <c r="E79" s="2"/>
      <c r="F79" s="9"/>
      <c r="G79" s="9"/>
      <c r="H79" s="9"/>
      <c r="I79" s="9"/>
      <c r="J79" s="9"/>
      <c r="K79" s="9"/>
      <c r="L79" s="27"/>
      <c r="M79" s="27"/>
    </row>
    <row r="80" spans="1:16" s="6" customFormat="1" x14ac:dyDescent="0.2">
      <c r="A80" s="8"/>
      <c r="B80" s="8"/>
      <c r="C80" s="8"/>
      <c r="D80" s="8"/>
      <c r="E80" s="2"/>
      <c r="F80" s="9"/>
      <c r="G80" s="9"/>
      <c r="H80" s="9"/>
      <c r="I80" s="9"/>
      <c r="J80" s="9"/>
      <c r="K80" s="9"/>
      <c r="L80" s="27"/>
      <c r="M80" s="27"/>
      <c r="O80" s="12"/>
      <c r="P80" s="12"/>
    </row>
    <row r="81" spans="1:16" s="6" customFormat="1" x14ac:dyDescent="0.2">
      <c r="A81" s="8"/>
      <c r="B81" s="8"/>
      <c r="C81" s="8"/>
      <c r="D81" s="8"/>
      <c r="E81" s="2"/>
      <c r="F81" s="9"/>
      <c r="G81" s="9"/>
      <c r="H81" s="9"/>
      <c r="I81" s="9"/>
      <c r="J81" s="9"/>
      <c r="K81" s="9"/>
      <c r="L81" s="27"/>
      <c r="M81" s="27"/>
      <c r="O81" s="12"/>
      <c r="P81" s="12"/>
    </row>
    <row r="82" spans="1:16" s="6" customFormat="1" x14ac:dyDescent="0.2">
      <c r="A82" s="8"/>
      <c r="B82" s="8"/>
      <c r="C82" s="8"/>
      <c r="D82" s="8"/>
      <c r="E82" s="2"/>
      <c r="F82" s="9"/>
      <c r="G82" s="9"/>
      <c r="H82" s="9"/>
      <c r="I82" s="9"/>
      <c r="J82" s="9"/>
      <c r="K82" s="9"/>
      <c r="L82" s="27"/>
      <c r="M82" s="27"/>
      <c r="O82" s="12"/>
      <c r="P82" s="12"/>
    </row>
    <row r="83" spans="1:16" s="6" customFormat="1" x14ac:dyDescent="0.2">
      <c r="A83" s="8"/>
      <c r="B83" s="8"/>
      <c r="C83" s="8"/>
      <c r="D83" s="8"/>
      <c r="E83" s="2"/>
      <c r="F83" s="9"/>
      <c r="G83" s="9"/>
      <c r="H83" s="9"/>
      <c r="I83" s="9"/>
      <c r="J83" s="9"/>
      <c r="K83" s="9"/>
      <c r="L83" s="27"/>
      <c r="M83" s="27"/>
      <c r="O83" s="12"/>
      <c r="P83" s="12"/>
    </row>
    <row r="84" spans="1:16" s="6" customFormat="1" x14ac:dyDescent="0.2">
      <c r="A84" s="8"/>
      <c r="B84" s="8"/>
      <c r="C84" s="8"/>
      <c r="D84" s="8"/>
      <c r="E84" s="2"/>
      <c r="F84" s="9"/>
      <c r="G84" s="9"/>
      <c r="H84" s="9"/>
      <c r="I84" s="9"/>
      <c r="J84" s="9"/>
      <c r="K84" s="9"/>
      <c r="L84" s="27"/>
      <c r="M84" s="27"/>
      <c r="O84" s="12"/>
      <c r="P84" s="12"/>
    </row>
    <row r="85" spans="1:16" s="6" customFormat="1" x14ac:dyDescent="0.2">
      <c r="A85" s="8"/>
      <c r="B85" s="8"/>
      <c r="C85" s="8"/>
      <c r="D85" s="8"/>
      <c r="E85" s="2"/>
      <c r="F85" s="9"/>
      <c r="G85" s="9"/>
      <c r="H85" s="9"/>
      <c r="I85" s="9"/>
      <c r="J85" s="9"/>
      <c r="K85" s="9"/>
      <c r="L85" s="27"/>
      <c r="M85" s="27"/>
      <c r="O85" s="12"/>
      <c r="P85" s="12"/>
    </row>
    <row r="86" spans="1:16" s="6" customFormat="1" x14ac:dyDescent="0.2">
      <c r="A86" s="8"/>
      <c r="B86" s="8"/>
      <c r="C86" s="8"/>
      <c r="D86" s="8"/>
      <c r="E86" s="2"/>
      <c r="F86" s="9"/>
      <c r="G86" s="9"/>
      <c r="H86" s="9"/>
      <c r="I86" s="9"/>
      <c r="J86" s="9"/>
      <c r="K86" s="9"/>
      <c r="L86" s="27"/>
      <c r="M86" s="27"/>
      <c r="O86" s="12"/>
      <c r="P86" s="12"/>
    </row>
    <row r="87" spans="1:16" s="6" customFormat="1" x14ac:dyDescent="0.2">
      <c r="A87" s="8"/>
      <c r="B87" s="8"/>
      <c r="C87" s="8"/>
      <c r="D87" s="8"/>
      <c r="E87" s="2"/>
      <c r="F87" s="9"/>
      <c r="G87" s="9"/>
      <c r="H87" s="9"/>
      <c r="I87" s="9"/>
      <c r="J87" s="9"/>
      <c r="K87" s="9"/>
      <c r="L87" s="27"/>
      <c r="M87" s="27"/>
      <c r="O87" s="12"/>
      <c r="P87" s="12"/>
    </row>
    <row r="88" spans="1:16" s="6" customFormat="1" x14ac:dyDescent="0.2">
      <c r="A88" s="8"/>
      <c r="B88" s="8"/>
      <c r="C88" s="8"/>
      <c r="D88" s="8"/>
      <c r="E88" s="2"/>
      <c r="F88" s="9"/>
      <c r="G88" s="9"/>
      <c r="H88" s="9"/>
      <c r="I88" s="9"/>
      <c r="J88" s="9"/>
      <c r="K88" s="9"/>
      <c r="L88" s="27"/>
      <c r="M88" s="27"/>
      <c r="O88" s="12"/>
      <c r="P88" s="12"/>
    </row>
    <row r="89" spans="1:16" s="6" customFormat="1" x14ac:dyDescent="0.2">
      <c r="A89" s="8"/>
      <c r="B89" s="8"/>
      <c r="C89" s="8"/>
      <c r="D89" s="8"/>
      <c r="E89" s="2"/>
      <c r="F89" s="9"/>
      <c r="G89" s="9"/>
      <c r="H89" s="9"/>
      <c r="I89" s="9"/>
      <c r="J89" s="9"/>
      <c r="K89" s="9"/>
      <c r="L89" s="27"/>
      <c r="M89" s="27"/>
      <c r="O89" s="12"/>
      <c r="P89" s="12"/>
    </row>
    <row r="90" spans="1:16" s="6" customFormat="1" x14ac:dyDescent="0.2">
      <c r="A90" s="8"/>
      <c r="B90" s="8"/>
      <c r="C90" s="8"/>
      <c r="D90" s="8"/>
      <c r="E90" s="2"/>
      <c r="F90" s="9"/>
      <c r="G90" s="9"/>
      <c r="H90" s="9"/>
      <c r="I90" s="9"/>
      <c r="J90" s="9"/>
      <c r="K90" s="9"/>
      <c r="L90" s="27"/>
      <c r="M90" s="27"/>
      <c r="O90" s="12"/>
      <c r="P90" s="12"/>
    </row>
    <row r="91" spans="1:16" s="6" customFormat="1" x14ac:dyDescent="0.2">
      <c r="A91" s="8"/>
      <c r="B91" s="8"/>
      <c r="C91" s="8"/>
      <c r="D91" s="8"/>
      <c r="E91" s="2"/>
      <c r="F91" s="9"/>
      <c r="G91" s="9"/>
      <c r="H91" s="9"/>
      <c r="I91" s="9"/>
      <c r="J91" s="9"/>
      <c r="K91" s="9"/>
      <c r="L91" s="27"/>
      <c r="M91" s="27"/>
      <c r="O91" s="12"/>
      <c r="P91" s="12"/>
    </row>
    <row r="92" spans="1:16" s="6" customFormat="1" x14ac:dyDescent="0.2">
      <c r="A92" s="8"/>
      <c r="B92" s="8"/>
      <c r="C92" s="8"/>
      <c r="D92" s="8"/>
      <c r="E92" s="2"/>
      <c r="F92" s="9"/>
      <c r="G92" s="9"/>
      <c r="H92" s="9"/>
      <c r="I92" s="9"/>
      <c r="J92" s="9"/>
      <c r="K92" s="9"/>
      <c r="L92" s="27"/>
      <c r="M92" s="27"/>
      <c r="O92" s="12"/>
      <c r="P92" s="12"/>
    </row>
    <row r="93" spans="1:16" s="6" customFormat="1" x14ac:dyDescent="0.2">
      <c r="A93" s="8"/>
      <c r="B93" s="8"/>
      <c r="C93" s="8"/>
      <c r="D93" s="8"/>
      <c r="E93" s="2"/>
      <c r="F93" s="9"/>
      <c r="G93" s="9"/>
      <c r="H93" s="9"/>
      <c r="I93" s="9"/>
      <c r="J93" s="9"/>
      <c r="K93" s="9"/>
      <c r="L93" s="27"/>
      <c r="M93" s="27"/>
      <c r="O93" s="12"/>
      <c r="P93" s="12"/>
    </row>
    <row r="94" spans="1:16" s="6" customFormat="1" x14ac:dyDescent="0.2">
      <c r="A94" s="8"/>
      <c r="B94" s="8"/>
      <c r="C94" s="8"/>
      <c r="D94" s="8"/>
      <c r="E94" s="2"/>
      <c r="F94" s="9"/>
      <c r="G94" s="9"/>
      <c r="H94" s="9"/>
      <c r="I94" s="9"/>
      <c r="J94" s="9"/>
      <c r="K94" s="9"/>
      <c r="L94" s="27"/>
      <c r="M94" s="27"/>
      <c r="O94" s="12"/>
      <c r="P94" s="12"/>
    </row>
    <row r="95" spans="1:16" s="6" customFormat="1" x14ac:dyDescent="0.2">
      <c r="A95" s="8"/>
      <c r="B95" s="8"/>
      <c r="C95" s="8"/>
      <c r="D95" s="8"/>
      <c r="E95" s="2"/>
      <c r="F95" s="9"/>
      <c r="G95" s="9"/>
      <c r="H95" s="9"/>
      <c r="I95" s="9"/>
      <c r="J95" s="9"/>
      <c r="K95" s="9"/>
      <c r="L95" s="27"/>
      <c r="M95" s="27"/>
      <c r="O95" s="12"/>
      <c r="P95" s="12"/>
    </row>
    <row r="96" spans="1:16" s="6" customFormat="1" x14ac:dyDescent="0.2">
      <c r="A96" s="8"/>
      <c r="B96" s="8"/>
      <c r="C96" s="8"/>
      <c r="D96" s="8"/>
      <c r="E96" s="2"/>
      <c r="F96" s="9"/>
      <c r="G96" s="9"/>
      <c r="H96" s="9"/>
      <c r="I96" s="9"/>
      <c r="J96" s="9"/>
      <c r="K96" s="9"/>
      <c r="L96" s="27"/>
      <c r="M96" s="27"/>
      <c r="O96" s="12"/>
      <c r="P96" s="12"/>
    </row>
    <row r="97" spans="1:16" s="6" customFormat="1" x14ac:dyDescent="0.2">
      <c r="A97" s="8"/>
      <c r="B97" s="8"/>
      <c r="C97" s="8"/>
      <c r="D97" s="8"/>
      <c r="E97" s="2"/>
      <c r="F97" s="9"/>
      <c r="G97" s="9"/>
      <c r="H97" s="9"/>
      <c r="I97" s="9"/>
      <c r="J97" s="9"/>
      <c r="K97" s="9"/>
      <c r="L97" s="27"/>
      <c r="M97" s="27"/>
      <c r="O97" s="12"/>
      <c r="P97" s="12"/>
    </row>
    <row r="98" spans="1:16" s="6" customFormat="1" x14ac:dyDescent="0.2">
      <c r="A98" s="8"/>
      <c r="B98" s="8"/>
      <c r="C98" s="8"/>
      <c r="D98" s="8"/>
      <c r="E98" s="2"/>
      <c r="F98" s="9"/>
      <c r="G98" s="9"/>
      <c r="H98" s="9"/>
      <c r="I98" s="9"/>
      <c r="J98" s="9"/>
      <c r="K98" s="9"/>
      <c r="L98" s="27"/>
      <c r="M98" s="27"/>
      <c r="O98" s="12"/>
      <c r="P98" s="12"/>
    </row>
    <row r="99" spans="1:16" s="6" customFormat="1" x14ac:dyDescent="0.2">
      <c r="A99" s="8"/>
      <c r="B99" s="8"/>
      <c r="C99" s="8"/>
      <c r="D99" s="8"/>
      <c r="E99" s="2"/>
      <c r="F99" s="9"/>
      <c r="G99" s="9"/>
      <c r="H99" s="9"/>
      <c r="I99" s="9"/>
      <c r="J99" s="9"/>
      <c r="K99" s="9"/>
      <c r="L99" s="27"/>
      <c r="M99" s="27"/>
      <c r="O99" s="12"/>
      <c r="P99" s="12"/>
    </row>
    <row r="100" spans="1:16" s="6" customFormat="1" x14ac:dyDescent="0.2">
      <c r="A100" s="8"/>
      <c r="B100" s="8"/>
      <c r="C100" s="8"/>
      <c r="D100" s="8"/>
      <c r="E100" s="2"/>
      <c r="F100" s="9"/>
      <c r="G100" s="9"/>
      <c r="H100" s="9"/>
      <c r="I100" s="9"/>
      <c r="J100" s="9"/>
      <c r="K100" s="9"/>
      <c r="L100" s="27"/>
      <c r="M100" s="27"/>
      <c r="O100" s="12"/>
      <c r="P100" s="12"/>
    </row>
    <row r="101" spans="1:16" s="6" customFormat="1" x14ac:dyDescent="0.2">
      <c r="A101" s="8"/>
      <c r="B101" s="8"/>
      <c r="C101" s="8"/>
      <c r="D101" s="8"/>
      <c r="E101" s="2"/>
      <c r="F101" s="9"/>
      <c r="G101" s="9"/>
      <c r="H101" s="9"/>
      <c r="I101" s="9"/>
      <c r="J101" s="9"/>
      <c r="K101" s="9"/>
      <c r="L101" s="27"/>
      <c r="M101" s="27"/>
      <c r="O101" s="12"/>
      <c r="P101" s="12"/>
    </row>
    <row r="102" spans="1:16" s="6" customFormat="1" x14ac:dyDescent="0.2">
      <c r="A102" s="8"/>
      <c r="B102" s="8"/>
      <c r="C102" s="8"/>
      <c r="D102" s="8"/>
      <c r="E102" s="2"/>
      <c r="F102" s="9"/>
      <c r="G102" s="9"/>
      <c r="H102" s="9"/>
      <c r="I102" s="9"/>
      <c r="J102" s="9"/>
      <c r="K102" s="9"/>
      <c r="L102" s="27"/>
      <c r="M102" s="27"/>
      <c r="O102" s="12"/>
      <c r="P102" s="12"/>
    </row>
    <row r="103" spans="1:16" s="6" customFormat="1" x14ac:dyDescent="0.2">
      <c r="A103" s="8"/>
      <c r="B103" s="8"/>
      <c r="C103" s="8"/>
      <c r="D103" s="8"/>
      <c r="E103" s="2"/>
      <c r="F103" s="9"/>
      <c r="G103" s="9"/>
      <c r="H103" s="9"/>
      <c r="I103" s="9"/>
      <c r="J103" s="9"/>
      <c r="K103" s="9"/>
      <c r="L103" s="27"/>
      <c r="M103" s="27"/>
      <c r="O103" s="12"/>
      <c r="P103" s="12"/>
    </row>
    <row r="104" spans="1:16" s="6" customFormat="1" x14ac:dyDescent="0.2">
      <c r="A104" s="8"/>
      <c r="B104" s="8"/>
      <c r="C104" s="8"/>
      <c r="D104" s="8"/>
      <c r="E104" s="2"/>
      <c r="F104" s="9"/>
      <c r="G104" s="9"/>
      <c r="H104" s="9"/>
      <c r="I104" s="9"/>
      <c r="J104" s="9"/>
      <c r="K104" s="9"/>
      <c r="L104" s="27"/>
      <c r="M104" s="27"/>
      <c r="O104" s="12"/>
      <c r="P104" s="12"/>
    </row>
    <row r="105" spans="1:16" s="6" customFormat="1" x14ac:dyDescent="0.2">
      <c r="A105" s="8"/>
      <c r="B105" s="8"/>
      <c r="C105" s="8"/>
      <c r="D105" s="8"/>
      <c r="E105" s="2"/>
      <c r="F105" s="9"/>
      <c r="G105" s="9"/>
      <c r="H105" s="9"/>
      <c r="I105" s="9"/>
      <c r="J105" s="9"/>
      <c r="K105" s="9"/>
      <c r="L105" s="27"/>
      <c r="M105" s="27"/>
      <c r="O105" s="12"/>
      <c r="P105" s="12"/>
    </row>
    <row r="106" spans="1:16" s="6" customFormat="1" x14ac:dyDescent="0.2">
      <c r="A106" s="8"/>
      <c r="B106" s="8"/>
      <c r="C106" s="8"/>
      <c r="D106" s="8"/>
      <c r="E106" s="2"/>
      <c r="F106" s="9"/>
      <c r="G106" s="9"/>
      <c r="H106" s="9"/>
      <c r="I106" s="9"/>
      <c r="J106" s="9"/>
      <c r="K106" s="9"/>
      <c r="L106" s="27"/>
      <c r="M106" s="27"/>
      <c r="O106" s="12"/>
      <c r="P106" s="12"/>
    </row>
    <row r="107" spans="1:16" s="6" customFormat="1" x14ac:dyDescent="0.2">
      <c r="A107" s="8"/>
      <c r="B107" s="8"/>
      <c r="C107" s="8"/>
      <c r="D107" s="8"/>
      <c r="E107" s="2"/>
      <c r="F107" s="9"/>
      <c r="G107" s="9"/>
      <c r="H107" s="9"/>
      <c r="I107" s="9"/>
      <c r="J107" s="9"/>
      <c r="K107" s="9"/>
      <c r="L107" s="27"/>
      <c r="M107" s="27"/>
      <c r="O107" s="12"/>
      <c r="P107" s="12"/>
    </row>
    <row r="108" spans="1:16" s="6" customFormat="1" x14ac:dyDescent="0.2">
      <c r="A108" s="8"/>
      <c r="B108" s="8"/>
      <c r="C108" s="8"/>
      <c r="D108" s="8"/>
      <c r="E108" s="2"/>
      <c r="F108" s="9"/>
      <c r="G108" s="9"/>
      <c r="H108" s="9"/>
      <c r="I108" s="9"/>
      <c r="J108" s="9"/>
      <c r="K108" s="9"/>
      <c r="L108" s="27"/>
      <c r="M108" s="27"/>
      <c r="O108" s="12"/>
      <c r="P108" s="12"/>
    </row>
    <row r="109" spans="1:16" s="6" customFormat="1" x14ac:dyDescent="0.2">
      <c r="A109" s="8"/>
      <c r="B109" s="8"/>
      <c r="C109" s="8"/>
      <c r="D109" s="8"/>
      <c r="E109" s="2"/>
      <c r="F109" s="9"/>
      <c r="G109" s="9"/>
      <c r="H109" s="9"/>
      <c r="I109" s="9"/>
      <c r="J109" s="9"/>
      <c r="K109" s="9"/>
      <c r="L109" s="27"/>
      <c r="M109" s="27"/>
      <c r="O109" s="12"/>
      <c r="P109" s="12"/>
    </row>
    <row r="110" spans="1:16" s="6" customFormat="1" x14ac:dyDescent="0.2">
      <c r="A110" s="8"/>
      <c r="B110" s="8"/>
      <c r="C110" s="8"/>
      <c r="D110" s="8"/>
      <c r="E110" s="2"/>
      <c r="F110" s="9"/>
      <c r="G110" s="9"/>
      <c r="H110" s="9"/>
      <c r="I110" s="9"/>
      <c r="J110" s="9"/>
      <c r="K110" s="9"/>
      <c r="L110" s="27"/>
      <c r="M110" s="27"/>
      <c r="O110" s="12"/>
      <c r="P110" s="12"/>
    </row>
    <row r="111" spans="1:16" s="6" customFormat="1" x14ac:dyDescent="0.2">
      <c r="A111" s="8"/>
      <c r="B111" s="8"/>
      <c r="C111" s="8"/>
      <c r="D111" s="8"/>
      <c r="E111" s="2"/>
      <c r="F111" s="9"/>
      <c r="G111" s="9"/>
      <c r="H111" s="9"/>
      <c r="I111" s="9"/>
      <c r="J111" s="9"/>
      <c r="K111" s="9"/>
      <c r="L111" s="27"/>
      <c r="M111" s="27"/>
      <c r="O111" s="12"/>
      <c r="P111" s="12"/>
    </row>
    <row r="112" spans="1:16" s="6" customFormat="1" x14ac:dyDescent="0.2">
      <c r="A112" s="8"/>
      <c r="B112" s="8"/>
      <c r="C112" s="8"/>
      <c r="D112" s="8"/>
      <c r="E112" s="2"/>
      <c r="F112" s="9"/>
      <c r="G112" s="9"/>
      <c r="H112" s="9"/>
      <c r="I112" s="9"/>
      <c r="J112" s="9"/>
      <c r="K112" s="9"/>
      <c r="L112" s="27"/>
      <c r="M112" s="27"/>
      <c r="O112" s="12"/>
      <c r="P112" s="12"/>
    </row>
    <row r="113" spans="1:16" s="6" customFormat="1" x14ac:dyDescent="0.2">
      <c r="A113" s="8"/>
      <c r="B113" s="8"/>
      <c r="C113" s="8"/>
      <c r="D113" s="8"/>
      <c r="E113" s="2"/>
      <c r="F113" s="9"/>
      <c r="G113" s="9"/>
      <c r="H113" s="9"/>
      <c r="I113" s="9"/>
      <c r="J113" s="9"/>
      <c r="K113" s="9"/>
      <c r="L113" s="27"/>
      <c r="M113" s="27"/>
      <c r="O113" s="12"/>
      <c r="P113" s="12"/>
    </row>
    <row r="114" spans="1:16" s="6" customFormat="1" x14ac:dyDescent="0.2">
      <c r="A114" s="8"/>
      <c r="B114" s="8"/>
      <c r="C114" s="8"/>
      <c r="D114" s="8"/>
      <c r="E114" s="2"/>
      <c r="F114" s="9"/>
      <c r="G114" s="9"/>
      <c r="H114" s="9"/>
      <c r="I114" s="9"/>
      <c r="J114" s="9"/>
      <c r="K114" s="9"/>
      <c r="L114" s="27"/>
      <c r="M114" s="27"/>
      <c r="O114" s="12"/>
      <c r="P114" s="12"/>
    </row>
    <row r="115" spans="1:16" s="6" customFormat="1" x14ac:dyDescent="0.2">
      <c r="A115" s="8"/>
      <c r="B115" s="8"/>
      <c r="C115" s="8"/>
      <c r="D115" s="8"/>
      <c r="E115" s="2"/>
      <c r="F115" s="9"/>
      <c r="G115" s="9"/>
      <c r="H115" s="9"/>
      <c r="I115" s="9"/>
      <c r="J115" s="9"/>
      <c r="K115" s="9"/>
      <c r="L115" s="27"/>
      <c r="M115" s="27"/>
      <c r="O115" s="12"/>
      <c r="P115" s="12"/>
    </row>
    <row r="116" spans="1:16" s="6" customFormat="1" x14ac:dyDescent="0.2">
      <c r="A116" s="8"/>
      <c r="B116" s="8"/>
      <c r="C116" s="8"/>
      <c r="D116" s="8"/>
      <c r="E116" s="2"/>
      <c r="F116" s="9"/>
      <c r="G116" s="9"/>
      <c r="H116" s="9"/>
      <c r="I116" s="9"/>
      <c r="J116" s="9"/>
      <c r="K116" s="9"/>
      <c r="L116" s="27"/>
      <c r="M116" s="27"/>
      <c r="O116" s="12"/>
      <c r="P116" s="12"/>
    </row>
    <row r="117" spans="1:16" s="6" customFormat="1" x14ac:dyDescent="0.2">
      <c r="A117" s="8"/>
      <c r="B117" s="8"/>
      <c r="C117" s="8"/>
      <c r="D117" s="8"/>
      <c r="E117" s="2"/>
      <c r="F117" s="9"/>
      <c r="G117" s="9"/>
      <c r="H117" s="9"/>
      <c r="I117" s="9"/>
      <c r="J117" s="9"/>
      <c r="K117" s="9"/>
      <c r="L117" s="27"/>
      <c r="M117" s="27"/>
      <c r="O117" s="12"/>
      <c r="P117" s="12"/>
    </row>
    <row r="118" spans="1:16" s="6" customFormat="1" x14ac:dyDescent="0.2">
      <c r="A118" s="8"/>
      <c r="B118" s="8"/>
      <c r="C118" s="8"/>
      <c r="D118" s="8"/>
      <c r="E118" s="2"/>
      <c r="F118" s="9"/>
      <c r="G118" s="9"/>
      <c r="H118" s="9"/>
      <c r="I118" s="9"/>
      <c r="J118" s="9"/>
      <c r="K118" s="9"/>
      <c r="L118" s="27"/>
      <c r="M118" s="27"/>
      <c r="O118" s="12"/>
      <c r="P118" s="12"/>
    </row>
    <row r="119" spans="1:16" s="6" customFormat="1" x14ac:dyDescent="0.2">
      <c r="A119" s="8"/>
      <c r="B119" s="8"/>
      <c r="C119" s="8"/>
      <c r="D119" s="8"/>
      <c r="E119" s="2"/>
      <c r="F119" s="9"/>
      <c r="G119" s="9"/>
      <c r="H119" s="9"/>
      <c r="I119" s="9"/>
      <c r="J119" s="9"/>
      <c r="K119" s="9"/>
      <c r="L119" s="27"/>
      <c r="M119" s="27"/>
      <c r="O119" s="12"/>
      <c r="P119" s="12"/>
    </row>
    <row r="120" spans="1:16" s="6" customFormat="1" x14ac:dyDescent="0.2">
      <c r="A120" s="8"/>
      <c r="B120" s="8"/>
      <c r="C120" s="8"/>
      <c r="D120" s="8"/>
      <c r="E120" s="2"/>
      <c r="F120" s="9"/>
      <c r="G120" s="9"/>
      <c r="H120" s="9"/>
      <c r="I120" s="9"/>
      <c r="J120" s="9"/>
      <c r="K120" s="9"/>
      <c r="L120" s="27"/>
      <c r="M120" s="27"/>
      <c r="O120" s="12"/>
      <c r="P120" s="12"/>
    </row>
    <row r="121" spans="1:16" s="6" customFormat="1" x14ac:dyDescent="0.2">
      <c r="A121" s="8"/>
      <c r="B121" s="8"/>
      <c r="C121" s="8"/>
      <c r="D121" s="8"/>
      <c r="E121" s="2"/>
      <c r="F121" s="9"/>
      <c r="G121" s="9"/>
      <c r="H121" s="9"/>
      <c r="I121" s="9"/>
      <c r="J121" s="9"/>
      <c r="K121" s="9"/>
      <c r="L121" s="27"/>
      <c r="M121" s="27"/>
      <c r="O121" s="12"/>
      <c r="P121" s="12"/>
    </row>
    <row r="122" spans="1:16" s="6" customFormat="1" x14ac:dyDescent="0.2">
      <c r="A122" s="8"/>
      <c r="B122" s="8"/>
      <c r="C122" s="8"/>
      <c r="D122" s="8"/>
      <c r="E122" s="2"/>
      <c r="F122" s="9"/>
      <c r="G122" s="9"/>
      <c r="H122" s="9"/>
      <c r="I122" s="9"/>
      <c r="J122" s="9"/>
      <c r="K122" s="9"/>
      <c r="L122" s="27"/>
      <c r="M122" s="27"/>
      <c r="O122" s="12"/>
      <c r="P122" s="12"/>
    </row>
    <row r="123" spans="1:16" s="6" customFormat="1" x14ac:dyDescent="0.2">
      <c r="A123" s="8"/>
      <c r="B123" s="8"/>
      <c r="C123" s="8"/>
      <c r="D123" s="8"/>
      <c r="E123" s="2"/>
      <c r="F123" s="9"/>
      <c r="G123" s="9"/>
      <c r="H123" s="9"/>
      <c r="I123" s="9"/>
      <c r="J123" s="9"/>
      <c r="K123" s="9"/>
      <c r="L123" s="27"/>
      <c r="M123" s="27"/>
      <c r="O123" s="12"/>
      <c r="P123" s="12"/>
    </row>
    <row r="124" spans="1:16" s="6" customFormat="1" x14ac:dyDescent="0.2">
      <c r="A124" s="8"/>
      <c r="B124" s="8"/>
      <c r="C124" s="8"/>
      <c r="D124" s="8"/>
      <c r="E124" s="2"/>
      <c r="F124" s="9"/>
      <c r="G124" s="9"/>
      <c r="H124" s="9"/>
      <c r="I124" s="9"/>
      <c r="J124" s="9"/>
      <c r="K124" s="9"/>
      <c r="L124" s="27"/>
      <c r="M124" s="27"/>
      <c r="O124" s="12"/>
      <c r="P124" s="12"/>
    </row>
    <row r="125" spans="1:16" s="6" customFormat="1" x14ac:dyDescent="0.2">
      <c r="A125" s="8"/>
      <c r="B125" s="8"/>
      <c r="C125" s="8"/>
      <c r="D125" s="8"/>
      <c r="E125" s="2"/>
      <c r="F125" s="9"/>
      <c r="G125" s="9"/>
      <c r="H125" s="9"/>
      <c r="I125" s="9"/>
      <c r="J125" s="9"/>
      <c r="K125" s="9"/>
      <c r="L125" s="27"/>
      <c r="M125" s="27"/>
      <c r="O125" s="12"/>
      <c r="P125" s="12"/>
    </row>
    <row r="126" spans="1:16" s="6" customFormat="1" x14ac:dyDescent="0.2">
      <c r="A126" s="8"/>
      <c r="B126" s="8"/>
      <c r="C126" s="8"/>
      <c r="D126" s="8"/>
      <c r="E126" s="2"/>
      <c r="F126" s="9"/>
      <c r="G126" s="9"/>
      <c r="H126" s="9"/>
      <c r="I126" s="9"/>
      <c r="J126" s="9"/>
      <c r="K126" s="9"/>
      <c r="L126" s="27"/>
      <c r="M126" s="27"/>
      <c r="O126" s="12"/>
      <c r="P126" s="12"/>
    </row>
    <row r="127" spans="1:16" s="6" customFormat="1" x14ac:dyDescent="0.2">
      <c r="A127" s="8"/>
      <c r="B127" s="8"/>
      <c r="C127" s="8"/>
      <c r="D127" s="8"/>
      <c r="E127" s="2"/>
      <c r="F127" s="9"/>
      <c r="G127" s="9"/>
      <c r="H127" s="9"/>
      <c r="I127" s="9"/>
      <c r="J127" s="9"/>
      <c r="K127" s="9"/>
      <c r="L127" s="27"/>
      <c r="M127" s="27"/>
      <c r="O127" s="12"/>
      <c r="P127" s="12"/>
    </row>
    <row r="128" spans="1:16" s="6" customFormat="1" x14ac:dyDescent="0.2">
      <c r="A128" s="8"/>
      <c r="B128" s="8"/>
      <c r="C128" s="8"/>
      <c r="D128" s="8"/>
      <c r="E128" s="2"/>
      <c r="F128" s="9"/>
      <c r="G128" s="9"/>
      <c r="H128" s="9"/>
      <c r="I128" s="9"/>
      <c r="J128" s="9"/>
      <c r="K128" s="9"/>
      <c r="L128" s="27"/>
      <c r="M128" s="27"/>
      <c r="O128" s="12"/>
      <c r="P128" s="12"/>
    </row>
    <row r="129" spans="1:16" s="6" customFormat="1" x14ac:dyDescent="0.2">
      <c r="A129" s="8"/>
      <c r="B129" s="8"/>
      <c r="C129" s="8"/>
      <c r="D129" s="8"/>
      <c r="E129" s="2"/>
      <c r="F129" s="9"/>
      <c r="G129" s="9"/>
      <c r="H129" s="9"/>
      <c r="I129" s="9"/>
      <c r="J129" s="9"/>
      <c r="K129" s="9"/>
      <c r="L129" s="27"/>
      <c r="M129" s="27"/>
      <c r="O129" s="12"/>
      <c r="P129" s="12"/>
    </row>
    <row r="130" spans="1:16" s="6" customFormat="1" x14ac:dyDescent="0.2">
      <c r="A130" s="8"/>
      <c r="B130" s="8"/>
      <c r="C130" s="8"/>
      <c r="D130" s="8"/>
      <c r="E130" s="2"/>
      <c r="F130" s="9"/>
      <c r="G130" s="9"/>
      <c r="H130" s="9"/>
      <c r="I130" s="9"/>
      <c r="J130" s="9"/>
      <c r="K130" s="9"/>
      <c r="L130" s="27"/>
      <c r="M130" s="27"/>
      <c r="O130" s="12"/>
      <c r="P130" s="12"/>
    </row>
    <row r="131" spans="1:16" s="6" customFormat="1" x14ac:dyDescent="0.2">
      <c r="A131" s="8"/>
      <c r="B131" s="8"/>
      <c r="C131" s="8"/>
      <c r="D131" s="8"/>
      <c r="E131" s="2"/>
      <c r="F131" s="9"/>
      <c r="G131" s="9"/>
      <c r="H131" s="9"/>
      <c r="I131" s="9"/>
      <c r="J131" s="9"/>
      <c r="K131" s="9"/>
      <c r="L131" s="27"/>
      <c r="M131" s="27"/>
      <c r="O131" s="12"/>
      <c r="P131" s="12"/>
    </row>
    <row r="132" spans="1:16" s="6" customFormat="1" x14ac:dyDescent="0.2">
      <c r="A132" s="8"/>
      <c r="B132" s="8"/>
      <c r="C132" s="8"/>
      <c r="D132" s="8"/>
      <c r="E132" s="2"/>
      <c r="F132" s="9"/>
      <c r="G132" s="9"/>
      <c r="H132" s="9"/>
      <c r="I132" s="9"/>
      <c r="J132" s="9"/>
      <c r="K132" s="9"/>
      <c r="L132" s="27"/>
      <c r="M132" s="27"/>
      <c r="O132" s="12"/>
      <c r="P132" s="12"/>
    </row>
    <row r="133" spans="1:16" s="6" customFormat="1" x14ac:dyDescent="0.2">
      <c r="A133" s="8"/>
      <c r="B133" s="8"/>
      <c r="C133" s="8"/>
      <c r="D133" s="8"/>
      <c r="E133" s="2"/>
      <c r="F133" s="9"/>
      <c r="G133" s="9"/>
      <c r="H133" s="9"/>
      <c r="I133" s="9"/>
      <c r="J133" s="9"/>
      <c r="K133" s="9"/>
      <c r="L133" s="27"/>
      <c r="M133" s="27"/>
      <c r="O133" s="12"/>
      <c r="P133" s="12"/>
    </row>
    <row r="134" spans="1:16" s="6" customFormat="1" x14ac:dyDescent="0.2">
      <c r="A134" s="8"/>
      <c r="B134" s="8"/>
      <c r="C134" s="8"/>
      <c r="D134" s="8"/>
      <c r="E134" s="2"/>
      <c r="F134" s="9"/>
      <c r="G134" s="9"/>
      <c r="H134" s="9"/>
      <c r="I134" s="9"/>
      <c r="J134" s="9"/>
      <c r="K134" s="9"/>
      <c r="L134" s="27"/>
      <c r="M134" s="27"/>
      <c r="O134" s="12"/>
      <c r="P134" s="12"/>
    </row>
    <row r="135" spans="1:16" s="6" customFormat="1" x14ac:dyDescent="0.2">
      <c r="A135" s="8"/>
      <c r="B135" s="8"/>
      <c r="C135" s="8"/>
      <c r="D135" s="8"/>
      <c r="E135" s="2"/>
      <c r="F135" s="9"/>
      <c r="G135" s="9"/>
      <c r="H135" s="9"/>
      <c r="I135" s="9"/>
      <c r="J135" s="9"/>
      <c r="K135" s="9"/>
      <c r="L135" s="27"/>
      <c r="M135" s="27"/>
      <c r="O135" s="12"/>
      <c r="P135" s="12"/>
    </row>
    <row r="136" spans="1:16" s="6" customFormat="1" x14ac:dyDescent="0.2">
      <c r="A136" s="8"/>
      <c r="B136" s="8"/>
      <c r="C136" s="8"/>
      <c r="D136" s="8"/>
      <c r="E136" s="2"/>
      <c r="F136" s="9"/>
      <c r="G136" s="9"/>
      <c r="H136" s="9"/>
      <c r="I136" s="9"/>
      <c r="J136" s="9"/>
      <c r="K136" s="9"/>
      <c r="L136" s="27"/>
      <c r="M136" s="27"/>
      <c r="O136" s="12"/>
      <c r="P136" s="12"/>
    </row>
    <row r="137" spans="1:16" s="6" customFormat="1" x14ac:dyDescent="0.2">
      <c r="A137" s="8"/>
      <c r="B137" s="8"/>
      <c r="C137" s="8"/>
      <c r="D137" s="8"/>
      <c r="E137" s="2"/>
      <c r="F137" s="9"/>
      <c r="G137" s="9"/>
      <c r="H137" s="9"/>
      <c r="I137" s="9"/>
      <c r="J137" s="9"/>
      <c r="K137" s="9"/>
      <c r="L137" s="27"/>
      <c r="M137" s="27"/>
      <c r="O137" s="12"/>
      <c r="P137" s="12"/>
    </row>
    <row r="138" spans="1:16" s="6" customFormat="1" x14ac:dyDescent="0.2">
      <c r="A138" s="8"/>
      <c r="B138" s="8"/>
      <c r="C138" s="8"/>
      <c r="D138" s="8"/>
      <c r="E138" s="2"/>
      <c r="F138" s="9"/>
      <c r="G138" s="9"/>
      <c r="H138" s="9"/>
      <c r="I138" s="9"/>
      <c r="J138" s="9"/>
      <c r="K138" s="9"/>
      <c r="L138" s="27"/>
      <c r="M138" s="27"/>
      <c r="O138" s="12"/>
      <c r="P138" s="12"/>
    </row>
    <row r="139" spans="1:16" s="6" customFormat="1" x14ac:dyDescent="0.2">
      <c r="A139" s="8"/>
      <c r="B139" s="8"/>
      <c r="C139" s="8"/>
      <c r="D139" s="8"/>
      <c r="E139" s="2"/>
      <c r="F139" s="9"/>
      <c r="G139" s="9"/>
      <c r="H139" s="9"/>
      <c r="I139" s="9"/>
      <c r="J139" s="9"/>
      <c r="K139" s="9"/>
      <c r="L139" s="27"/>
      <c r="M139" s="27"/>
      <c r="O139" s="12"/>
      <c r="P139" s="12"/>
    </row>
    <row r="140" spans="1:16" s="6" customFormat="1" x14ac:dyDescent="0.2">
      <c r="A140" s="8"/>
      <c r="B140" s="8"/>
      <c r="C140" s="8"/>
      <c r="D140" s="8"/>
      <c r="E140" s="2"/>
      <c r="F140" s="9"/>
      <c r="G140" s="9"/>
      <c r="H140" s="9"/>
      <c r="I140" s="9"/>
      <c r="J140" s="9"/>
      <c r="K140" s="9"/>
      <c r="L140" s="27"/>
      <c r="M140" s="27"/>
      <c r="O140" s="12"/>
      <c r="P140" s="12"/>
    </row>
    <row r="141" spans="1:16" s="6" customFormat="1" x14ac:dyDescent="0.2">
      <c r="A141" s="8"/>
      <c r="B141" s="8"/>
      <c r="C141" s="8"/>
      <c r="D141" s="8"/>
      <c r="E141" s="2"/>
      <c r="F141" s="9"/>
      <c r="G141" s="9"/>
      <c r="H141" s="9"/>
      <c r="I141" s="9"/>
      <c r="J141" s="9"/>
      <c r="K141" s="9"/>
      <c r="L141" s="27"/>
      <c r="M141" s="27"/>
      <c r="O141" s="12"/>
      <c r="P141" s="12"/>
    </row>
    <row r="142" spans="1:16" s="6" customFormat="1" x14ac:dyDescent="0.2">
      <c r="A142" s="8"/>
      <c r="B142" s="8"/>
      <c r="C142" s="8"/>
      <c r="D142" s="8"/>
      <c r="E142" s="2"/>
      <c r="F142" s="9"/>
      <c r="G142" s="9"/>
      <c r="H142" s="9"/>
      <c r="I142" s="9"/>
      <c r="J142" s="9"/>
      <c r="K142" s="9"/>
      <c r="L142" s="27"/>
      <c r="M142" s="27"/>
      <c r="O142" s="12"/>
      <c r="P142" s="12"/>
    </row>
    <row r="143" spans="1:16" s="6" customFormat="1" x14ac:dyDescent="0.2">
      <c r="A143" s="8"/>
      <c r="B143" s="8"/>
      <c r="C143" s="8"/>
      <c r="D143" s="8"/>
      <c r="E143" s="2"/>
      <c r="F143" s="12"/>
      <c r="G143" s="12"/>
      <c r="H143" s="12"/>
      <c r="I143" s="12"/>
      <c r="J143" s="12"/>
      <c r="K143" s="12"/>
      <c r="O143" s="12"/>
      <c r="P143" s="12"/>
    </row>
    <row r="144" spans="1:16" x14ac:dyDescent="0.2">
      <c r="E144" s="2"/>
    </row>
    <row r="145" spans="5:5" x14ac:dyDescent="0.2">
      <c r="E145" s="2"/>
    </row>
    <row r="146" spans="5:5" x14ac:dyDescent="0.2">
      <c r="E146" s="2"/>
    </row>
    <row r="147" spans="5:5" x14ac:dyDescent="0.2">
      <c r="E147" s="2"/>
    </row>
    <row r="148" spans="5:5" x14ac:dyDescent="0.2">
      <c r="E148" s="2"/>
    </row>
    <row r="149" spans="5:5" x14ac:dyDescent="0.2">
      <c r="E149" s="2"/>
    </row>
    <row r="150" spans="5:5" x14ac:dyDescent="0.2">
      <c r="E150" s="2"/>
    </row>
    <row r="151" spans="5:5" x14ac:dyDescent="0.2">
      <c r="E151" s="2"/>
    </row>
    <row r="152" spans="5:5" x14ac:dyDescent="0.2">
      <c r="E152" s="2"/>
    </row>
    <row r="153" spans="5:5" x14ac:dyDescent="0.2">
      <c r="E153" s="2"/>
    </row>
    <row r="154" spans="5:5" x14ac:dyDescent="0.2">
      <c r="E154" s="2"/>
    </row>
    <row r="155" spans="5:5" x14ac:dyDescent="0.2">
      <c r="E155" s="2"/>
    </row>
    <row r="156" spans="5:5" x14ac:dyDescent="0.2">
      <c r="E156" s="2"/>
    </row>
    <row r="157" spans="5:5" x14ac:dyDescent="0.2">
      <c r="E157" s="2"/>
    </row>
    <row r="158" spans="5:5" x14ac:dyDescent="0.2">
      <c r="E158" s="2"/>
    </row>
    <row r="159" spans="5:5" x14ac:dyDescent="0.2">
      <c r="E159" s="2"/>
    </row>
    <row r="160" spans="5:5" x14ac:dyDescent="0.2">
      <c r="E160" s="2"/>
    </row>
    <row r="161" spans="5:5" x14ac:dyDescent="0.2">
      <c r="E161" s="2"/>
    </row>
    <row r="162" spans="5:5" x14ac:dyDescent="0.2">
      <c r="E162" s="2"/>
    </row>
    <row r="163" spans="5:5" x14ac:dyDescent="0.2">
      <c r="E163" s="2"/>
    </row>
    <row r="164" spans="5:5" x14ac:dyDescent="0.2">
      <c r="E164" s="2"/>
    </row>
    <row r="165" spans="5:5" x14ac:dyDescent="0.2">
      <c r="E165" s="2"/>
    </row>
    <row r="166" spans="5:5" x14ac:dyDescent="0.2">
      <c r="E166" s="2"/>
    </row>
    <row r="167" spans="5:5" x14ac:dyDescent="0.2">
      <c r="E167" s="2"/>
    </row>
    <row r="168" spans="5:5" x14ac:dyDescent="0.2">
      <c r="E168" s="2"/>
    </row>
    <row r="169" spans="5:5" x14ac:dyDescent="0.2">
      <c r="E169" s="2"/>
    </row>
    <row r="170" spans="5:5" x14ac:dyDescent="0.2">
      <c r="E170" s="2"/>
    </row>
    <row r="171" spans="5:5" x14ac:dyDescent="0.2">
      <c r="E171" s="2"/>
    </row>
    <row r="172" spans="5:5" x14ac:dyDescent="0.2">
      <c r="E172" s="2"/>
    </row>
    <row r="173" spans="5:5" x14ac:dyDescent="0.2">
      <c r="E173" s="2"/>
    </row>
    <row r="174" spans="5:5" x14ac:dyDescent="0.2">
      <c r="E174" s="2"/>
    </row>
    <row r="175" spans="5:5" x14ac:dyDescent="0.2">
      <c r="E175" s="2"/>
    </row>
    <row r="176" spans="5:5" x14ac:dyDescent="0.2">
      <c r="E176" s="2"/>
    </row>
    <row r="177" spans="5:5" x14ac:dyDescent="0.2">
      <c r="E177" s="2"/>
    </row>
    <row r="178" spans="5:5" x14ac:dyDescent="0.2">
      <c r="E178" s="2"/>
    </row>
    <row r="179" spans="5:5" x14ac:dyDescent="0.2">
      <c r="E179" s="2"/>
    </row>
    <row r="180" spans="5:5" x14ac:dyDescent="0.2">
      <c r="E180" s="2"/>
    </row>
    <row r="181" spans="5:5" x14ac:dyDescent="0.2">
      <c r="E181" s="2"/>
    </row>
    <row r="182" spans="5:5" x14ac:dyDescent="0.2">
      <c r="E182" s="2"/>
    </row>
    <row r="183" spans="5:5" x14ac:dyDescent="0.2">
      <c r="E183" s="2"/>
    </row>
    <row r="184" spans="5:5" x14ac:dyDescent="0.2">
      <c r="E184" s="2"/>
    </row>
    <row r="185" spans="5:5" x14ac:dyDescent="0.2">
      <c r="E185" s="2"/>
    </row>
    <row r="186" spans="5:5" x14ac:dyDescent="0.2">
      <c r="E186" s="2"/>
    </row>
    <row r="187" spans="5:5" x14ac:dyDescent="0.2">
      <c r="E187" s="2"/>
    </row>
    <row r="188" spans="5:5" x14ac:dyDescent="0.2">
      <c r="E188" s="2"/>
    </row>
    <row r="189" spans="5:5" x14ac:dyDescent="0.2">
      <c r="E189" s="2"/>
    </row>
    <row r="190" spans="5:5" x14ac:dyDescent="0.2">
      <c r="E190" s="2"/>
    </row>
    <row r="191" spans="5:5" x14ac:dyDescent="0.2">
      <c r="E191" s="2"/>
    </row>
    <row r="192" spans="5:5" x14ac:dyDescent="0.2">
      <c r="E192" s="2"/>
    </row>
    <row r="193" spans="5:5" x14ac:dyDescent="0.2">
      <c r="E193" s="2"/>
    </row>
    <row r="194" spans="5:5" x14ac:dyDescent="0.2">
      <c r="E194" s="2"/>
    </row>
    <row r="195" spans="5:5" x14ac:dyDescent="0.2">
      <c r="E195" s="2"/>
    </row>
    <row r="196" spans="5:5" x14ac:dyDescent="0.2">
      <c r="E196" s="2"/>
    </row>
    <row r="197" spans="5:5" x14ac:dyDescent="0.2">
      <c r="E197" s="2"/>
    </row>
    <row r="198" spans="5:5" x14ac:dyDescent="0.2">
      <c r="E198" s="2"/>
    </row>
    <row r="199" spans="5:5" x14ac:dyDescent="0.2">
      <c r="E199" s="2"/>
    </row>
    <row r="200" spans="5:5" x14ac:dyDescent="0.2">
      <c r="E200" s="2"/>
    </row>
    <row r="201" spans="5:5" x14ac:dyDescent="0.2">
      <c r="E201" s="2"/>
    </row>
    <row r="202" spans="5:5" x14ac:dyDescent="0.2">
      <c r="E202" s="2"/>
    </row>
    <row r="203" spans="5:5" x14ac:dyDescent="0.2">
      <c r="E203" s="2"/>
    </row>
    <row r="204" spans="5:5" x14ac:dyDescent="0.2">
      <c r="E204" s="2"/>
    </row>
    <row r="205" spans="5:5" x14ac:dyDescent="0.2">
      <c r="E205" s="2"/>
    </row>
    <row r="206" spans="5:5" x14ac:dyDescent="0.2">
      <c r="E206" s="2"/>
    </row>
    <row r="207" spans="5:5" x14ac:dyDescent="0.2">
      <c r="E207" s="2"/>
    </row>
    <row r="208" spans="5:5" x14ac:dyDescent="0.2">
      <c r="E208" s="2"/>
    </row>
    <row r="209" spans="5:5" x14ac:dyDescent="0.2">
      <c r="E209" s="2"/>
    </row>
    <row r="210" spans="5:5" x14ac:dyDescent="0.2">
      <c r="E210" s="2"/>
    </row>
    <row r="211" spans="5:5" x14ac:dyDescent="0.2">
      <c r="E211" s="2"/>
    </row>
    <row r="212" spans="5:5" x14ac:dyDescent="0.2">
      <c r="E212" s="2"/>
    </row>
    <row r="213" spans="5:5" x14ac:dyDescent="0.2">
      <c r="E213" s="2"/>
    </row>
    <row r="214" spans="5:5" x14ac:dyDescent="0.2">
      <c r="E214" s="2"/>
    </row>
    <row r="215" spans="5:5" x14ac:dyDescent="0.2">
      <c r="E215" s="2"/>
    </row>
    <row r="216" spans="5:5" x14ac:dyDescent="0.2">
      <c r="E216" s="2"/>
    </row>
    <row r="217" spans="5:5" x14ac:dyDescent="0.2">
      <c r="E217" s="2"/>
    </row>
    <row r="218" spans="5:5" x14ac:dyDescent="0.2">
      <c r="E218" s="2"/>
    </row>
    <row r="219" spans="5:5" x14ac:dyDescent="0.2">
      <c r="E219" s="2"/>
    </row>
    <row r="220" spans="5:5" x14ac:dyDescent="0.2">
      <c r="E220" s="2"/>
    </row>
  </sheetData>
  <mergeCells count="45">
    <mergeCell ref="L19:M19"/>
    <mergeCell ref="L20:M20"/>
    <mergeCell ref="L12:M12"/>
    <mergeCell ref="L14:M14"/>
    <mergeCell ref="L16:M16"/>
    <mergeCell ref="L17:M17"/>
    <mergeCell ref="L18:M18"/>
    <mergeCell ref="L25:M25"/>
    <mergeCell ref="L27:M27"/>
    <mergeCell ref="L21:M21"/>
    <mergeCell ref="L22:M22"/>
    <mergeCell ref="L23:M23"/>
    <mergeCell ref="L32:M32"/>
    <mergeCell ref="L33:M33"/>
    <mergeCell ref="L34:M34"/>
    <mergeCell ref="L29:M29"/>
    <mergeCell ref="L30:M30"/>
    <mergeCell ref="L31:M31"/>
    <mergeCell ref="L54:M54"/>
    <mergeCell ref="L42:M42"/>
    <mergeCell ref="L44:M44"/>
    <mergeCell ref="L45:M45"/>
    <mergeCell ref="L46:M46"/>
    <mergeCell ref="L48:M48"/>
    <mergeCell ref="E6:P6"/>
    <mergeCell ref="L63:M63"/>
    <mergeCell ref="E65:O65"/>
    <mergeCell ref="L68:M68"/>
    <mergeCell ref="L69:M69"/>
    <mergeCell ref="L61:M61"/>
    <mergeCell ref="L56:M56"/>
    <mergeCell ref="L58:M58"/>
    <mergeCell ref="L59:M59"/>
    <mergeCell ref="L36:M36"/>
    <mergeCell ref="L38:M38"/>
    <mergeCell ref="L40:M40"/>
    <mergeCell ref="L50:M50"/>
    <mergeCell ref="L51:M51"/>
    <mergeCell ref="L52:M52"/>
    <mergeCell ref="L53:M53"/>
    <mergeCell ref="E1:P1"/>
    <mergeCell ref="E2:P2"/>
    <mergeCell ref="E3:P3"/>
    <mergeCell ref="E4:P4"/>
    <mergeCell ref="E5:P5"/>
  </mergeCells>
  <printOptions horizontalCentered="1" verticalCentered="1"/>
  <pageMargins left="0.15748031496062992" right="0.15748031496062992" top="0.19685039370078741" bottom="0.19685039370078741" header="0.51181102362204722" footer="0.51181102362204722"/>
  <pageSetup scale="60" orientation="landscape" r:id="rId1"/>
  <ignoredErrors>
    <ignoredError sqref="F16:F17 F37 N23 E68:M69 F29 F30 F31 F32 F33 F34 F35 F36 G16:G17 G29:G37 N16 N17 N18 N19 N20 N21 N22 F18:F22 G18:G22 O16:O24 N53 N52 N51 N54 O50 N55:O58 O54 N60:O62 O59 O53 O51 O52 O63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745"/>
  <sheetViews>
    <sheetView topLeftCell="A475" workbookViewId="0">
      <selection activeCell="J492" sqref="J492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5" width="15.7109375" customWidth="1"/>
    <col min="16" max="16" width="12.7109375" bestFit="1" customWidth="1"/>
  </cols>
  <sheetData>
    <row r="1" spans="1:19" x14ac:dyDescent="0.25">
      <c r="A1" s="309"/>
      <c r="B1" s="309"/>
      <c r="C1" s="309"/>
      <c r="D1" s="309"/>
      <c r="E1" s="309"/>
      <c r="F1" s="309"/>
      <c r="G1" s="695">
        <v>2016</v>
      </c>
      <c r="H1" s="695"/>
      <c r="I1" s="695"/>
      <c r="J1" s="695"/>
      <c r="K1" s="337"/>
      <c r="L1" s="695">
        <v>2015</v>
      </c>
      <c r="M1" s="695"/>
      <c r="N1" s="695"/>
      <c r="O1" s="695"/>
      <c r="P1" s="309"/>
      <c r="Q1" s="309" t="s">
        <v>840</v>
      </c>
      <c r="R1" s="309"/>
      <c r="S1" s="309"/>
    </row>
    <row r="2" spans="1:19" x14ac:dyDescent="0.25">
      <c r="A2" s="309"/>
      <c r="B2" s="309"/>
      <c r="C2" s="309"/>
      <c r="D2" s="309"/>
      <c r="E2" s="309"/>
      <c r="F2" s="309"/>
      <c r="G2" s="337" t="s">
        <v>746</v>
      </c>
      <c r="H2" s="337" t="s">
        <v>743</v>
      </c>
      <c r="I2" s="337" t="s">
        <v>744</v>
      </c>
      <c r="J2" s="337" t="s">
        <v>745</v>
      </c>
      <c r="K2" s="337"/>
      <c r="L2" s="337" t="s">
        <v>746</v>
      </c>
      <c r="M2" s="337" t="s">
        <v>743</v>
      </c>
      <c r="N2" s="337" t="s">
        <v>744</v>
      </c>
      <c r="O2" s="337" t="s">
        <v>745</v>
      </c>
      <c r="P2" s="309"/>
      <c r="Q2" s="338" t="s">
        <v>841</v>
      </c>
      <c r="R2" s="309"/>
      <c r="S2" s="309"/>
    </row>
    <row r="3" spans="1:19" x14ac:dyDescent="0.25">
      <c r="A3" s="125">
        <v>1</v>
      </c>
      <c r="B3" s="125"/>
      <c r="C3" s="125"/>
      <c r="D3" s="125"/>
      <c r="E3" s="125"/>
      <c r="F3" s="125" t="s">
        <v>243</v>
      </c>
      <c r="G3" s="154">
        <f>+G4+G92</f>
        <v>13156895.939999999</v>
      </c>
      <c r="H3" s="154">
        <f>+H4+H92</f>
        <v>13938627</v>
      </c>
      <c r="I3" s="154">
        <f>+I4+I92</f>
        <v>18328009.5</v>
      </c>
      <c r="J3" s="154">
        <f>+J4+J92</f>
        <v>8767512.4399999995</v>
      </c>
      <c r="K3" s="154"/>
      <c r="L3" s="154">
        <f>+L4+L92</f>
        <v>9962014.3499999996</v>
      </c>
      <c r="M3" s="154"/>
      <c r="N3" s="154"/>
      <c r="O3" s="154">
        <f>+O4+O92</f>
        <v>5812314.3499999996</v>
      </c>
      <c r="P3" s="309"/>
      <c r="Q3" s="309" t="s">
        <v>1242</v>
      </c>
      <c r="R3" s="309"/>
      <c r="S3" s="309"/>
    </row>
    <row r="4" spans="1:19" x14ac:dyDescent="0.25">
      <c r="A4" s="126">
        <v>1</v>
      </c>
      <c r="B4" s="126">
        <v>1</v>
      </c>
      <c r="C4" s="126"/>
      <c r="D4" s="126"/>
      <c r="E4" s="126"/>
      <c r="F4" s="126" t="s">
        <v>244</v>
      </c>
      <c r="G4" s="150">
        <f>+G5+G39+G71+G77+G83+G85+G88</f>
        <v>9755587</v>
      </c>
      <c r="H4" s="150">
        <f>+H5+H39+H71+H77+H83+H85+H88</f>
        <v>13938627</v>
      </c>
      <c r="I4" s="150">
        <f>+I5+I39+I71+I77+I83+I85+I88</f>
        <v>18146011</v>
      </c>
      <c r="J4" s="150">
        <f>+J5+J39+J71+J77+J83+J85+J88</f>
        <v>5548203</v>
      </c>
      <c r="K4" s="150"/>
      <c r="L4" s="150">
        <f>+L5+L39+L71+L77+L83+L85+L88</f>
        <v>6698197.4100000001</v>
      </c>
      <c r="M4" s="150"/>
      <c r="N4" s="150"/>
      <c r="O4" s="150">
        <f>+O5+O39+O71+O77+O83+O85+O88</f>
        <v>2688197.41</v>
      </c>
      <c r="P4" s="309"/>
      <c r="Q4" s="309" t="s">
        <v>1243</v>
      </c>
      <c r="R4" s="309"/>
      <c r="S4" s="309"/>
    </row>
    <row r="5" spans="1:19" x14ac:dyDescent="0.25">
      <c r="A5" s="132">
        <v>1</v>
      </c>
      <c r="B5" s="132">
        <v>1</v>
      </c>
      <c r="C5" s="132">
        <v>1</v>
      </c>
      <c r="D5" s="132"/>
      <c r="E5" s="132"/>
      <c r="F5" s="135" t="s">
        <v>99</v>
      </c>
      <c r="G5" s="131">
        <f>+G7+G34+G35+G36+G37+G38</f>
        <v>9739632</v>
      </c>
      <c r="H5" s="131">
        <f>+H7+H34+H35+H36+H37+H38</f>
        <v>13923261</v>
      </c>
      <c r="I5" s="131">
        <f>+I7+I34+I35+I36+I37+I38</f>
        <v>18143948</v>
      </c>
      <c r="J5" s="131">
        <f>+J7+J34+J35+J36+J37+J38</f>
        <v>5518945</v>
      </c>
      <c r="K5" s="131"/>
      <c r="L5" s="131">
        <f>+L7+L34+L35+L36+L37+L38</f>
        <v>6465501</v>
      </c>
      <c r="M5" s="131"/>
      <c r="N5" s="131"/>
      <c r="O5" s="131">
        <f>+O7+O34+O35+O36+O37+O38</f>
        <v>2465501</v>
      </c>
      <c r="P5" s="309"/>
      <c r="Q5" s="309" t="s">
        <v>1023</v>
      </c>
      <c r="R5" s="309"/>
      <c r="S5" s="309"/>
    </row>
    <row r="6" spans="1:19" x14ac:dyDescent="0.25">
      <c r="A6" s="127">
        <v>1</v>
      </c>
      <c r="B6" s="127">
        <v>1</v>
      </c>
      <c r="C6" s="127">
        <v>1</v>
      </c>
      <c r="D6" s="127">
        <v>1</v>
      </c>
      <c r="E6" s="127"/>
      <c r="F6" s="127" t="s">
        <v>245</v>
      </c>
      <c r="G6" s="127"/>
      <c r="H6" s="127"/>
      <c r="I6" s="127"/>
      <c r="J6" s="129"/>
      <c r="K6" s="129"/>
      <c r="L6" s="127"/>
      <c r="M6" s="129"/>
      <c r="N6" s="129"/>
      <c r="O6" s="129"/>
      <c r="P6" s="309"/>
      <c r="Q6" s="309" t="s">
        <v>1023</v>
      </c>
      <c r="R6" s="309"/>
      <c r="S6" s="309"/>
    </row>
    <row r="7" spans="1:19" x14ac:dyDescent="0.25">
      <c r="A7" s="138">
        <v>1</v>
      </c>
      <c r="B7" s="138">
        <v>1</v>
      </c>
      <c r="C7" s="138">
        <v>1</v>
      </c>
      <c r="D7" s="138">
        <v>2</v>
      </c>
      <c r="E7" s="138"/>
      <c r="F7" s="138" t="s">
        <v>246</v>
      </c>
      <c r="G7" s="139">
        <f>SUM(G8:G33)</f>
        <v>9739632</v>
      </c>
      <c r="H7" s="139">
        <f t="shared" ref="H7:J7" si="0">SUM(H8:H33)</f>
        <v>13923261</v>
      </c>
      <c r="I7" s="139">
        <f t="shared" si="0"/>
        <v>18143948</v>
      </c>
      <c r="J7" s="139">
        <f t="shared" si="0"/>
        <v>5518945</v>
      </c>
      <c r="K7" s="139"/>
      <c r="L7" s="139">
        <f>SUM(L8:L24)</f>
        <v>6465501</v>
      </c>
      <c r="M7" s="139"/>
      <c r="N7" s="139"/>
      <c r="O7" s="139">
        <f t="shared" ref="O7" si="1">SUM(O8:O24)</f>
        <v>2465501</v>
      </c>
      <c r="P7" s="309"/>
      <c r="Q7" s="309" t="s">
        <v>1244</v>
      </c>
      <c r="R7" s="309"/>
      <c r="S7" s="309"/>
    </row>
    <row r="8" spans="1:19" x14ac:dyDescent="0.25">
      <c r="A8" s="127"/>
      <c r="B8" s="127"/>
      <c r="C8" s="127"/>
      <c r="D8" s="127"/>
      <c r="E8" s="127">
        <v>1</v>
      </c>
      <c r="F8" s="127" t="s">
        <v>604</v>
      </c>
      <c r="G8" s="140">
        <v>24465</v>
      </c>
      <c r="H8" s="140">
        <v>114900</v>
      </c>
      <c r="I8" s="140">
        <v>139365</v>
      </c>
      <c r="J8" s="129">
        <f>+G8+H8-I8</f>
        <v>0</v>
      </c>
      <c r="K8" s="129"/>
      <c r="L8" s="140">
        <f>17050+1</f>
        <v>17051</v>
      </c>
      <c r="M8" s="129"/>
      <c r="N8" s="129"/>
      <c r="O8" s="129">
        <f>+L8+M8-N8</f>
        <v>17051</v>
      </c>
      <c r="P8" s="309"/>
      <c r="Q8" s="309" t="s">
        <v>1245</v>
      </c>
      <c r="R8" s="309"/>
      <c r="S8" s="309"/>
    </row>
    <row r="9" spans="1:19" x14ac:dyDescent="0.25">
      <c r="A9" s="127"/>
      <c r="B9" s="127"/>
      <c r="C9" s="127"/>
      <c r="D9" s="127"/>
      <c r="E9" s="127">
        <v>2</v>
      </c>
      <c r="F9" s="127" t="s">
        <v>605</v>
      </c>
      <c r="G9" s="140">
        <v>20728</v>
      </c>
      <c r="H9" s="140">
        <v>0</v>
      </c>
      <c r="I9" s="140">
        <v>20728</v>
      </c>
      <c r="J9" s="129">
        <f>+G9+H9-I9</f>
        <v>0</v>
      </c>
      <c r="K9" s="129"/>
      <c r="L9" s="140">
        <v>77927</v>
      </c>
      <c r="M9" s="129"/>
      <c r="N9" s="129"/>
      <c r="O9" s="129">
        <f>+L9+M9-N9</f>
        <v>77927</v>
      </c>
      <c r="P9" s="309"/>
      <c r="Q9" s="226" t="s">
        <v>1264</v>
      </c>
      <c r="R9" s="309"/>
      <c r="S9" s="309"/>
    </row>
    <row r="10" spans="1:19" x14ac:dyDescent="0.25">
      <c r="A10" s="127"/>
      <c r="B10" s="127"/>
      <c r="C10" s="127"/>
      <c r="D10" s="127"/>
      <c r="E10" s="127">
        <v>3</v>
      </c>
      <c r="F10" s="127" t="s">
        <v>606</v>
      </c>
      <c r="G10" s="140"/>
      <c r="H10" s="140"/>
      <c r="I10" s="140"/>
      <c r="J10" s="129">
        <f t="shared" ref="J10:J33" si="2">+G10+H10-I10</f>
        <v>0</v>
      </c>
      <c r="K10" s="129"/>
      <c r="L10" s="140">
        <v>74343</v>
      </c>
      <c r="M10" s="129"/>
      <c r="N10" s="129"/>
      <c r="O10" s="129">
        <f>+L10+M10-N10</f>
        <v>74343</v>
      </c>
      <c r="P10" s="309"/>
      <c r="Q10" s="309"/>
      <c r="R10" s="309"/>
      <c r="S10" s="309"/>
    </row>
    <row r="11" spans="1:19" x14ac:dyDescent="0.25">
      <c r="A11" s="127"/>
      <c r="B11" s="127"/>
      <c r="C11" s="127"/>
      <c r="D11" s="127"/>
      <c r="E11" s="127">
        <v>4</v>
      </c>
      <c r="F11" s="127" t="s">
        <v>607</v>
      </c>
      <c r="G11" s="140">
        <v>23465</v>
      </c>
      <c r="H11" s="140">
        <v>1520</v>
      </c>
      <c r="I11" s="140">
        <v>1301</v>
      </c>
      <c r="J11" s="129">
        <f t="shared" si="2"/>
        <v>23684</v>
      </c>
      <c r="K11" s="129"/>
      <c r="L11" s="140">
        <v>56632</v>
      </c>
      <c r="M11" s="129"/>
      <c r="N11" s="129"/>
      <c r="O11" s="129">
        <f t="shared" ref="O11:O23" si="3">+L11+M11-N11</f>
        <v>56632</v>
      </c>
      <c r="P11" s="309"/>
      <c r="Q11" s="309"/>
      <c r="R11" s="309"/>
      <c r="S11" s="309"/>
    </row>
    <row r="12" spans="1:19" x14ac:dyDescent="0.25">
      <c r="A12" s="127"/>
      <c r="B12" s="127"/>
      <c r="C12" s="127"/>
      <c r="D12" s="127"/>
      <c r="E12" s="127">
        <v>5</v>
      </c>
      <c r="F12" s="127" t="s">
        <v>608</v>
      </c>
      <c r="G12" s="140"/>
      <c r="H12" s="140"/>
      <c r="I12" s="140"/>
      <c r="J12" s="129"/>
      <c r="K12" s="129"/>
      <c r="L12" s="140">
        <v>0</v>
      </c>
      <c r="M12" s="129"/>
      <c r="N12" s="129"/>
      <c r="O12" s="129">
        <f t="shared" si="3"/>
        <v>0</v>
      </c>
      <c r="P12" s="309"/>
      <c r="Q12" s="309"/>
      <c r="R12" s="309"/>
      <c r="S12" s="309"/>
    </row>
    <row r="13" spans="1:19" x14ac:dyDescent="0.25">
      <c r="A13" s="127"/>
      <c r="B13" s="127"/>
      <c r="C13" s="127"/>
      <c r="D13" s="127"/>
      <c r="E13" s="127">
        <v>9</v>
      </c>
      <c r="F13" s="127" t="s">
        <v>753</v>
      </c>
      <c r="G13" s="140"/>
      <c r="H13" s="140"/>
      <c r="I13" s="140"/>
      <c r="J13" s="129"/>
      <c r="K13" s="129"/>
      <c r="L13" s="140">
        <v>316104</v>
      </c>
      <c r="M13" s="129"/>
      <c r="N13" s="129"/>
      <c r="O13" s="129">
        <f t="shared" si="3"/>
        <v>316104</v>
      </c>
      <c r="P13" s="309"/>
      <c r="Q13" s="309"/>
      <c r="R13" s="309"/>
      <c r="S13" s="309"/>
    </row>
    <row r="14" spans="1:19" x14ac:dyDescent="0.25">
      <c r="A14" s="127"/>
      <c r="B14" s="127"/>
      <c r="C14" s="127"/>
      <c r="D14" s="127"/>
      <c r="E14" s="127">
        <v>11</v>
      </c>
      <c r="F14" s="127" t="s">
        <v>609</v>
      </c>
      <c r="G14" s="140"/>
      <c r="H14" s="140"/>
      <c r="I14" s="140"/>
      <c r="J14" s="129"/>
      <c r="K14" s="129"/>
      <c r="L14" s="140">
        <v>113783</v>
      </c>
      <c r="M14" s="129"/>
      <c r="N14" s="129"/>
      <c r="O14" s="129">
        <f t="shared" si="3"/>
        <v>113783</v>
      </c>
      <c r="P14" s="309"/>
      <c r="Q14" s="309"/>
      <c r="R14" s="309"/>
      <c r="S14" s="309"/>
    </row>
    <row r="15" spans="1:19" x14ac:dyDescent="0.25">
      <c r="A15" s="127"/>
      <c r="B15" s="127"/>
      <c r="C15" s="127"/>
      <c r="D15" s="127"/>
      <c r="E15" s="127">
        <v>16</v>
      </c>
      <c r="F15" s="127" t="s">
        <v>610</v>
      </c>
      <c r="G15" s="140">
        <v>1358007</v>
      </c>
      <c r="H15" s="140">
        <v>0</v>
      </c>
      <c r="I15" s="140">
        <v>612658</v>
      </c>
      <c r="J15" s="129">
        <f t="shared" si="2"/>
        <v>745349</v>
      </c>
      <c r="K15" s="129"/>
      <c r="L15" s="140">
        <v>1508615</v>
      </c>
      <c r="M15" s="129"/>
      <c r="N15" s="129"/>
      <c r="O15" s="129">
        <f t="shared" si="3"/>
        <v>1508615</v>
      </c>
      <c r="P15" s="309"/>
      <c r="Q15" s="309"/>
      <c r="R15" s="309"/>
      <c r="S15" s="309"/>
    </row>
    <row r="16" spans="1:19" x14ac:dyDescent="0.25">
      <c r="A16" s="127"/>
      <c r="B16" s="127"/>
      <c r="C16" s="127"/>
      <c r="D16" s="127"/>
      <c r="E16" s="127">
        <v>17</v>
      </c>
      <c r="F16" s="127" t="s">
        <v>611</v>
      </c>
      <c r="G16" s="140">
        <v>0</v>
      </c>
      <c r="H16" s="140"/>
      <c r="I16" s="140"/>
      <c r="J16" s="129">
        <f t="shared" si="2"/>
        <v>0</v>
      </c>
      <c r="K16" s="129"/>
      <c r="L16" s="140">
        <v>0</v>
      </c>
      <c r="M16" s="129"/>
      <c r="N16" s="129"/>
      <c r="O16" s="129">
        <f t="shared" si="3"/>
        <v>0</v>
      </c>
      <c r="P16" s="309"/>
      <c r="Q16" s="309"/>
      <c r="R16" s="309"/>
      <c r="S16" s="309"/>
    </row>
    <row r="17" spans="1:19" x14ac:dyDescent="0.25">
      <c r="A17" s="127"/>
      <c r="B17" s="127"/>
      <c r="C17" s="127"/>
      <c r="D17" s="127"/>
      <c r="E17" s="127">
        <v>18</v>
      </c>
      <c r="F17" s="127" t="s">
        <v>612</v>
      </c>
      <c r="G17" s="140">
        <v>0</v>
      </c>
      <c r="H17" s="140"/>
      <c r="I17" s="140"/>
      <c r="J17" s="129">
        <f t="shared" si="2"/>
        <v>0</v>
      </c>
      <c r="K17" s="129"/>
      <c r="L17" s="140">
        <v>0</v>
      </c>
      <c r="M17" s="129"/>
      <c r="N17" s="129"/>
      <c r="O17" s="129">
        <f t="shared" si="3"/>
        <v>0</v>
      </c>
      <c r="P17" s="309"/>
      <c r="Q17" s="309"/>
      <c r="R17" s="309"/>
      <c r="S17" s="309"/>
    </row>
    <row r="18" spans="1:19" x14ac:dyDescent="0.25">
      <c r="A18" s="127"/>
      <c r="B18" s="127"/>
      <c r="C18" s="127"/>
      <c r="D18" s="127"/>
      <c r="E18" s="127">
        <v>19</v>
      </c>
      <c r="F18" s="127" t="s">
        <v>613</v>
      </c>
      <c r="G18" s="140">
        <v>0</v>
      </c>
      <c r="H18" s="140"/>
      <c r="I18" s="140"/>
      <c r="J18" s="129">
        <f t="shared" si="2"/>
        <v>0</v>
      </c>
      <c r="K18" s="129"/>
      <c r="L18" s="140">
        <v>0</v>
      </c>
      <c r="M18" s="129"/>
      <c r="N18" s="129"/>
      <c r="O18" s="129">
        <f t="shared" si="3"/>
        <v>0</v>
      </c>
      <c r="P18" s="309"/>
      <c r="Q18" s="309"/>
      <c r="R18" s="309"/>
      <c r="S18" s="309"/>
    </row>
    <row r="19" spans="1:19" x14ac:dyDescent="0.25">
      <c r="A19" s="127"/>
      <c r="B19" s="127"/>
      <c r="C19" s="127"/>
      <c r="D19" s="127"/>
      <c r="E19" s="127">
        <v>20</v>
      </c>
      <c r="F19" s="127" t="s">
        <v>843</v>
      </c>
      <c r="G19" s="140">
        <v>0</v>
      </c>
      <c r="H19" s="140"/>
      <c r="I19" s="140"/>
      <c r="J19" s="129">
        <f t="shared" si="2"/>
        <v>0</v>
      </c>
      <c r="K19" s="129"/>
      <c r="L19" s="140">
        <v>0</v>
      </c>
      <c r="M19" s="129"/>
      <c r="N19" s="129"/>
      <c r="O19" s="129">
        <f t="shared" si="3"/>
        <v>0</v>
      </c>
      <c r="P19" s="309"/>
      <c r="Q19" s="309"/>
      <c r="R19" s="309"/>
      <c r="S19" s="309"/>
    </row>
    <row r="20" spans="1:19" x14ac:dyDescent="0.25">
      <c r="A20" s="127"/>
      <c r="B20" s="127"/>
      <c r="C20" s="127"/>
      <c r="D20" s="127"/>
      <c r="E20" s="127">
        <v>21</v>
      </c>
      <c r="F20" s="127" t="s">
        <v>842</v>
      </c>
      <c r="G20" s="140">
        <v>0</v>
      </c>
      <c r="H20" s="129"/>
      <c r="I20" s="129"/>
      <c r="J20" s="129">
        <f t="shared" si="2"/>
        <v>0</v>
      </c>
      <c r="K20" s="129"/>
      <c r="L20" s="140">
        <v>0</v>
      </c>
      <c r="M20" s="129"/>
      <c r="N20" s="129"/>
      <c r="O20" s="129">
        <f t="shared" si="3"/>
        <v>0</v>
      </c>
      <c r="P20" s="309"/>
      <c r="Q20" s="309"/>
      <c r="R20" s="309"/>
      <c r="S20" s="309"/>
    </row>
    <row r="21" spans="1:19" x14ac:dyDescent="0.25">
      <c r="A21" s="127"/>
      <c r="B21" s="127"/>
      <c r="C21" s="127"/>
      <c r="D21" s="127"/>
      <c r="E21" s="127">
        <v>23</v>
      </c>
      <c r="F21" s="127" t="s">
        <v>615</v>
      </c>
      <c r="G21" s="140">
        <v>0</v>
      </c>
      <c r="H21" s="140"/>
      <c r="I21" s="140"/>
      <c r="J21" s="129">
        <f t="shared" si="2"/>
        <v>0</v>
      </c>
      <c r="K21" s="129"/>
      <c r="L21" s="140">
        <v>0</v>
      </c>
      <c r="M21" s="129"/>
      <c r="N21" s="129"/>
      <c r="O21" s="129">
        <f t="shared" si="3"/>
        <v>0</v>
      </c>
      <c r="P21" s="309"/>
      <c r="Q21" s="309"/>
      <c r="R21" s="309"/>
      <c r="S21" s="309"/>
    </row>
    <row r="22" spans="1:19" x14ac:dyDescent="0.25">
      <c r="A22" s="127"/>
      <c r="B22" s="127"/>
      <c r="C22" s="127"/>
      <c r="D22" s="127"/>
      <c r="E22" s="127">
        <v>25</v>
      </c>
      <c r="F22" s="127" t="s">
        <v>614</v>
      </c>
      <c r="G22" s="140"/>
      <c r="H22" s="140"/>
      <c r="I22" s="140"/>
      <c r="J22" s="129">
        <f t="shared" si="2"/>
        <v>0</v>
      </c>
      <c r="K22" s="129"/>
      <c r="L22" s="140">
        <v>0</v>
      </c>
      <c r="M22" s="129"/>
      <c r="N22" s="129"/>
      <c r="O22" s="129">
        <f t="shared" si="3"/>
        <v>0</v>
      </c>
      <c r="P22" s="309"/>
      <c r="Q22" s="309"/>
      <c r="R22" s="309"/>
      <c r="S22" s="309"/>
    </row>
    <row r="23" spans="1:19" x14ac:dyDescent="0.25">
      <c r="A23" s="127"/>
      <c r="B23" s="127"/>
      <c r="C23" s="127"/>
      <c r="D23" s="127"/>
      <c r="E23" s="127">
        <v>26</v>
      </c>
      <c r="F23" s="127" t="s">
        <v>616</v>
      </c>
      <c r="G23" s="140"/>
      <c r="H23" s="140"/>
      <c r="I23" s="140"/>
      <c r="J23" s="129">
        <f t="shared" si="2"/>
        <v>0</v>
      </c>
      <c r="K23" s="129"/>
      <c r="L23" s="140">
        <v>301046</v>
      </c>
      <c r="M23" s="129"/>
      <c r="N23" s="129"/>
      <c r="O23" s="129">
        <f t="shared" si="3"/>
        <v>301046</v>
      </c>
      <c r="P23" s="309"/>
      <c r="Q23" s="309"/>
      <c r="R23" s="309"/>
      <c r="S23" s="309"/>
    </row>
    <row r="24" spans="1:19" x14ac:dyDescent="0.25">
      <c r="A24" s="127"/>
      <c r="B24" s="127"/>
      <c r="C24" s="127"/>
      <c r="D24" s="127"/>
      <c r="E24" s="127">
        <v>27</v>
      </c>
      <c r="F24" s="127" t="s">
        <v>845</v>
      </c>
      <c r="G24" s="140">
        <v>24</v>
      </c>
      <c r="H24" s="140">
        <v>0</v>
      </c>
      <c r="I24" s="140">
        <v>24</v>
      </c>
      <c r="J24" s="129">
        <f t="shared" si="2"/>
        <v>0</v>
      </c>
      <c r="K24" s="129"/>
      <c r="L24" s="140">
        <v>4000000</v>
      </c>
      <c r="M24" s="129"/>
      <c r="N24" s="129"/>
      <c r="O24" s="129"/>
      <c r="P24" s="309"/>
      <c r="Q24" s="309"/>
      <c r="R24" s="309"/>
      <c r="S24" s="309"/>
    </row>
    <row r="25" spans="1:19" x14ac:dyDescent="0.25">
      <c r="A25" s="127"/>
      <c r="B25" s="127"/>
      <c r="C25" s="127"/>
      <c r="D25" s="127"/>
      <c r="E25" s="127">
        <v>28</v>
      </c>
      <c r="F25" s="127" t="s">
        <v>1122</v>
      </c>
      <c r="G25" s="140">
        <v>100000</v>
      </c>
      <c r="H25" s="140">
        <v>0</v>
      </c>
      <c r="I25" s="140">
        <v>100000</v>
      </c>
      <c r="J25" s="129">
        <f t="shared" si="2"/>
        <v>0</v>
      </c>
      <c r="K25" s="129"/>
      <c r="L25" s="140">
        <v>0</v>
      </c>
      <c r="M25" s="129"/>
      <c r="N25" s="129"/>
      <c r="O25" s="129"/>
      <c r="P25" s="309"/>
      <c r="Q25" s="309"/>
      <c r="R25" s="309"/>
      <c r="S25" s="309"/>
    </row>
    <row r="26" spans="1:19" x14ac:dyDescent="0.25">
      <c r="A26" s="127"/>
      <c r="B26" s="127"/>
      <c r="C26" s="127"/>
      <c r="D26" s="127"/>
      <c r="E26" s="127">
        <v>29</v>
      </c>
      <c r="F26" s="127" t="s">
        <v>1123</v>
      </c>
      <c r="G26" s="140">
        <v>6669089</v>
      </c>
      <c r="H26" s="140">
        <v>3654201</v>
      </c>
      <c r="I26" s="140">
        <v>8017216</v>
      </c>
      <c r="J26" s="129">
        <f>+G26+H26-I26</f>
        <v>2306074</v>
      </c>
      <c r="K26" s="129"/>
      <c r="L26" s="140">
        <v>0</v>
      </c>
      <c r="M26" s="129"/>
      <c r="N26" s="129"/>
      <c r="O26" s="129"/>
      <c r="P26" s="309"/>
      <c r="Q26" s="309"/>
      <c r="R26" s="309"/>
      <c r="S26" s="309"/>
    </row>
    <row r="27" spans="1:19" x14ac:dyDescent="0.25">
      <c r="A27" s="127"/>
      <c r="B27" s="127"/>
      <c r="C27" s="127"/>
      <c r="D27" s="127"/>
      <c r="E27" s="127">
        <v>30</v>
      </c>
      <c r="F27" s="127" t="s">
        <v>1124</v>
      </c>
      <c r="G27" s="140">
        <v>0</v>
      </c>
      <c r="H27" s="140">
        <v>0</v>
      </c>
      <c r="I27" s="140">
        <v>0</v>
      </c>
      <c r="J27" s="129">
        <f t="shared" ref="J27:J28" si="4">+G27+H27-I27</f>
        <v>0</v>
      </c>
      <c r="K27" s="129"/>
      <c r="L27" s="140"/>
      <c r="M27" s="129"/>
      <c r="N27" s="129"/>
      <c r="O27" s="129"/>
      <c r="P27" s="309"/>
      <c r="Q27" s="309"/>
      <c r="R27" s="309"/>
      <c r="S27" s="309"/>
    </row>
    <row r="28" spans="1:19" x14ac:dyDescent="0.25">
      <c r="A28" s="127"/>
      <c r="B28" s="127"/>
      <c r="C28" s="127"/>
      <c r="D28" s="127"/>
      <c r="E28" s="127">
        <v>31</v>
      </c>
      <c r="F28" s="127" t="s">
        <v>1238</v>
      </c>
      <c r="G28" s="140">
        <v>550202</v>
      </c>
      <c r="H28" s="140">
        <v>14</v>
      </c>
      <c r="I28" s="140">
        <v>27638</v>
      </c>
      <c r="J28" s="129">
        <f t="shared" si="4"/>
        <v>522578</v>
      </c>
      <c r="K28" s="129"/>
      <c r="L28" s="140"/>
      <c r="M28" s="129"/>
      <c r="N28" s="129"/>
      <c r="O28" s="129"/>
      <c r="P28" s="309"/>
      <c r="Q28" s="309"/>
      <c r="R28" s="309"/>
      <c r="S28" s="309"/>
    </row>
    <row r="29" spans="1:19" x14ac:dyDescent="0.25">
      <c r="A29" s="127"/>
      <c r="B29" s="127"/>
      <c r="C29" s="127"/>
      <c r="D29" s="127"/>
      <c r="E29" s="127">
        <v>32</v>
      </c>
      <c r="F29" s="127" t="s">
        <v>1238</v>
      </c>
      <c r="G29" s="140">
        <v>993652</v>
      </c>
      <c r="H29" s="140">
        <v>1031049</v>
      </c>
      <c r="I29" s="140">
        <v>1485775</v>
      </c>
      <c r="J29" s="129">
        <f t="shared" si="2"/>
        <v>538926</v>
      </c>
      <c r="K29" s="129"/>
      <c r="L29" s="140">
        <v>0</v>
      </c>
      <c r="M29" s="129"/>
      <c r="N29" s="129"/>
      <c r="O29" s="129"/>
      <c r="P29" s="309"/>
      <c r="Q29" s="309"/>
      <c r="R29" s="309"/>
      <c r="S29" s="309"/>
    </row>
    <row r="30" spans="1:19" x14ac:dyDescent="0.25">
      <c r="A30" s="127"/>
      <c r="B30" s="127"/>
      <c r="C30" s="127"/>
      <c r="D30" s="127"/>
      <c r="E30" s="127">
        <v>33</v>
      </c>
      <c r="F30" s="127" t="s">
        <v>1255</v>
      </c>
      <c r="G30" s="140">
        <v>0</v>
      </c>
      <c r="H30" s="140">
        <v>654837</v>
      </c>
      <c r="I30" s="140">
        <v>639620</v>
      </c>
      <c r="J30" s="129">
        <f t="shared" si="2"/>
        <v>15217</v>
      </c>
      <c r="K30" s="129"/>
      <c r="L30" s="140"/>
      <c r="M30" s="129"/>
      <c r="N30" s="129"/>
      <c r="O30" s="129"/>
      <c r="P30" s="309"/>
      <c r="Q30" s="309"/>
      <c r="R30" s="309"/>
      <c r="S30" s="309"/>
    </row>
    <row r="31" spans="1:19" x14ac:dyDescent="0.25">
      <c r="A31" s="127"/>
      <c r="B31" s="127"/>
      <c r="C31" s="127"/>
      <c r="D31" s="127"/>
      <c r="E31" s="127">
        <v>34</v>
      </c>
      <c r="F31" s="127" t="s">
        <v>839</v>
      </c>
      <c r="G31" s="140"/>
      <c r="H31" s="140">
        <v>2861740</v>
      </c>
      <c r="I31" s="140">
        <v>2774885</v>
      </c>
      <c r="J31" s="129">
        <f t="shared" si="2"/>
        <v>86855</v>
      </c>
      <c r="K31" s="129"/>
      <c r="L31" s="140"/>
      <c r="M31" s="129"/>
      <c r="N31" s="129"/>
      <c r="O31" s="129"/>
      <c r="P31" s="309"/>
      <c r="Q31" s="309"/>
      <c r="R31" s="309"/>
      <c r="S31" s="309"/>
    </row>
    <row r="32" spans="1:19" x14ac:dyDescent="0.25">
      <c r="A32" s="127"/>
      <c r="B32" s="127"/>
      <c r="C32" s="127"/>
      <c r="D32" s="127"/>
      <c r="E32" s="127">
        <v>35</v>
      </c>
      <c r="F32" s="127" t="s">
        <v>1256</v>
      </c>
      <c r="G32" s="140"/>
      <c r="H32" s="140">
        <v>2620000</v>
      </c>
      <c r="I32" s="140">
        <v>2384089</v>
      </c>
      <c r="J32" s="129">
        <f t="shared" si="2"/>
        <v>235911</v>
      </c>
      <c r="K32" s="129"/>
      <c r="L32" s="140"/>
      <c r="M32" s="129"/>
      <c r="N32" s="129"/>
      <c r="O32" s="129"/>
      <c r="P32" s="309"/>
      <c r="Q32" s="309"/>
      <c r="R32" s="309"/>
      <c r="S32" s="309"/>
    </row>
    <row r="33" spans="1:19" x14ac:dyDescent="0.25">
      <c r="A33" s="127"/>
      <c r="B33" s="127"/>
      <c r="C33" s="127"/>
      <c r="D33" s="127"/>
      <c r="E33" s="127">
        <v>36</v>
      </c>
      <c r="F33" s="127" t="s">
        <v>1257</v>
      </c>
      <c r="G33" s="140"/>
      <c r="H33" s="140">
        <v>2985000</v>
      </c>
      <c r="I33" s="140">
        <v>1940649</v>
      </c>
      <c r="J33" s="129">
        <f t="shared" si="2"/>
        <v>1044351</v>
      </c>
      <c r="K33" s="129"/>
      <c r="L33" s="140"/>
      <c r="M33" s="129"/>
      <c r="N33" s="129"/>
      <c r="O33" s="129"/>
      <c r="P33" s="309"/>
      <c r="Q33" s="309"/>
      <c r="R33" s="309"/>
      <c r="S33" s="309"/>
    </row>
    <row r="34" spans="1:19" x14ac:dyDescent="0.25">
      <c r="A34" s="127">
        <v>1</v>
      </c>
      <c r="B34" s="127">
        <v>1</v>
      </c>
      <c r="C34" s="127">
        <v>1</v>
      </c>
      <c r="D34" s="127">
        <v>3</v>
      </c>
      <c r="E34" s="127"/>
      <c r="F34" s="127" t="s">
        <v>247</v>
      </c>
      <c r="G34" s="127"/>
      <c r="H34" s="127"/>
      <c r="I34" s="127"/>
      <c r="J34" s="129"/>
      <c r="K34" s="129"/>
      <c r="L34" s="127"/>
      <c r="M34" s="129"/>
      <c r="N34" s="129"/>
      <c r="O34" s="129"/>
      <c r="P34" s="309"/>
      <c r="Q34" s="309"/>
      <c r="R34" s="309"/>
      <c r="S34" s="309"/>
    </row>
    <row r="35" spans="1:19" x14ac:dyDescent="0.25">
      <c r="A35" s="127">
        <v>1</v>
      </c>
      <c r="B35" s="127">
        <v>1</v>
      </c>
      <c r="C35" s="127">
        <v>1</v>
      </c>
      <c r="D35" s="127">
        <v>4</v>
      </c>
      <c r="E35" s="127"/>
      <c r="F35" s="127" t="s">
        <v>248</v>
      </c>
      <c r="G35" s="127"/>
      <c r="H35" s="127"/>
      <c r="I35" s="127"/>
      <c r="J35" s="129"/>
      <c r="K35" s="129"/>
      <c r="L35" s="127"/>
      <c r="M35" s="129"/>
      <c r="N35" s="129"/>
      <c r="O35" s="129"/>
      <c r="P35" s="309"/>
      <c r="Q35" s="309"/>
      <c r="R35" s="309"/>
      <c r="S35" s="309"/>
    </row>
    <row r="36" spans="1:19" x14ac:dyDescent="0.25">
      <c r="A36" s="127">
        <v>1</v>
      </c>
      <c r="B36" s="127">
        <v>1</v>
      </c>
      <c r="C36" s="127">
        <v>1</v>
      </c>
      <c r="D36" s="127">
        <v>5</v>
      </c>
      <c r="E36" s="127"/>
      <c r="F36" s="127" t="s">
        <v>249</v>
      </c>
      <c r="G36" s="127"/>
      <c r="H36" s="127"/>
      <c r="I36" s="127"/>
      <c r="J36" s="129"/>
      <c r="K36" s="129"/>
      <c r="L36" s="127"/>
      <c r="M36" s="129"/>
      <c r="N36" s="129"/>
      <c r="O36" s="129"/>
      <c r="P36" s="309"/>
      <c r="Q36" s="309"/>
      <c r="R36" s="309"/>
      <c r="S36" s="309"/>
    </row>
    <row r="37" spans="1:19" ht="24" x14ac:dyDescent="0.25">
      <c r="A37" s="127">
        <v>1</v>
      </c>
      <c r="B37" s="127">
        <v>1</v>
      </c>
      <c r="C37" s="127">
        <v>1</v>
      </c>
      <c r="D37" s="127">
        <v>6</v>
      </c>
      <c r="E37" s="127"/>
      <c r="F37" s="127" t="s">
        <v>250</v>
      </c>
      <c r="G37" s="127"/>
      <c r="H37" s="127"/>
      <c r="I37" s="127"/>
      <c r="J37" s="129"/>
      <c r="K37" s="129"/>
      <c r="L37" s="127"/>
      <c r="M37" s="129"/>
      <c r="N37" s="129"/>
      <c r="O37" s="129"/>
      <c r="P37" s="309"/>
      <c r="Q37" s="309"/>
      <c r="R37" s="309"/>
      <c r="S37" s="309"/>
    </row>
    <row r="38" spans="1:19" x14ac:dyDescent="0.25">
      <c r="A38" s="127">
        <v>1</v>
      </c>
      <c r="B38" s="127">
        <v>1</v>
      </c>
      <c r="C38" s="127">
        <v>1</v>
      </c>
      <c r="D38" s="127">
        <v>9</v>
      </c>
      <c r="E38" s="127"/>
      <c r="F38" s="127" t="s">
        <v>251</v>
      </c>
      <c r="G38" s="127"/>
      <c r="H38" s="127"/>
      <c r="I38" s="127"/>
      <c r="J38" s="129"/>
      <c r="K38" s="129"/>
      <c r="L38" s="127"/>
      <c r="M38" s="129"/>
      <c r="N38" s="129"/>
      <c r="O38" s="129"/>
      <c r="P38" s="309"/>
      <c r="Q38" s="309"/>
      <c r="R38" s="309"/>
      <c r="S38" s="309"/>
    </row>
    <row r="39" spans="1:19" x14ac:dyDescent="0.25">
      <c r="A39" s="125">
        <v>1</v>
      </c>
      <c r="B39" s="125">
        <v>1</v>
      </c>
      <c r="C39" s="125">
        <v>2</v>
      </c>
      <c r="D39" s="125"/>
      <c r="E39" s="125"/>
      <c r="F39" s="149" t="s">
        <v>101</v>
      </c>
      <c r="G39" s="154">
        <f>+G40+G41+G42+G66+G67+G68+G69</f>
        <v>15955</v>
      </c>
      <c r="H39" s="154">
        <f>+H40+H41+H42+H66+H67+H68+H69</f>
        <v>15366</v>
      </c>
      <c r="I39" s="154">
        <f>+I40+I41+I42+I66+I67+I68+I69</f>
        <v>2063</v>
      </c>
      <c r="J39" s="154">
        <f>+J40+J41+J42+J66+J67+J68+J69</f>
        <v>29258</v>
      </c>
      <c r="K39" s="154"/>
      <c r="L39" s="154">
        <f>+L40+L41+L42+L66+L67+L68+L69</f>
        <v>232696.41</v>
      </c>
      <c r="M39" s="154"/>
      <c r="N39" s="154"/>
      <c r="O39" s="154">
        <f>+O40+O41+O42+O66+O67+O68+O69</f>
        <v>222696.41</v>
      </c>
      <c r="P39" s="309"/>
      <c r="Q39" s="309"/>
      <c r="R39" s="309"/>
      <c r="S39" s="309"/>
    </row>
    <row r="40" spans="1:19" x14ac:dyDescent="0.25">
      <c r="A40" s="127">
        <v>1</v>
      </c>
      <c r="B40" s="127">
        <v>1</v>
      </c>
      <c r="C40" s="127">
        <v>2</v>
      </c>
      <c r="D40" s="127">
        <v>1</v>
      </c>
      <c r="E40" s="127"/>
      <c r="F40" s="127" t="s">
        <v>252</v>
      </c>
      <c r="G40" s="127"/>
      <c r="H40" s="127"/>
      <c r="I40" s="127"/>
      <c r="J40" s="129"/>
      <c r="K40" s="129"/>
      <c r="L40" s="127"/>
      <c r="M40" s="129"/>
      <c r="N40" s="129"/>
      <c r="O40" s="129"/>
      <c r="P40" s="309"/>
      <c r="Q40" s="309"/>
      <c r="R40" s="309"/>
      <c r="S40" s="309"/>
    </row>
    <row r="41" spans="1:19" x14ac:dyDescent="0.25">
      <c r="A41" s="127">
        <v>1</v>
      </c>
      <c r="B41" s="127">
        <v>1</v>
      </c>
      <c r="C41" s="127">
        <v>2</v>
      </c>
      <c r="D41" s="127">
        <v>2</v>
      </c>
      <c r="E41" s="127"/>
      <c r="F41" s="127" t="s">
        <v>253</v>
      </c>
      <c r="G41" s="127"/>
      <c r="H41" s="127"/>
      <c r="I41" s="127"/>
      <c r="J41" s="129"/>
      <c r="K41" s="129"/>
      <c r="L41" s="127"/>
      <c r="M41" s="129"/>
      <c r="N41" s="129"/>
      <c r="O41" s="129"/>
      <c r="P41" s="309"/>
      <c r="Q41" s="309"/>
      <c r="R41" s="309"/>
      <c r="S41" s="309"/>
    </row>
    <row r="42" spans="1:19" x14ac:dyDescent="0.25">
      <c r="A42" s="132">
        <v>1</v>
      </c>
      <c r="B42" s="132">
        <v>1</v>
      </c>
      <c r="C42" s="132">
        <v>2</v>
      </c>
      <c r="D42" s="132">
        <v>3</v>
      </c>
      <c r="E42" s="132"/>
      <c r="F42" s="132" t="s">
        <v>254</v>
      </c>
      <c r="G42" s="131">
        <f>SUM(G43:G65)</f>
        <v>15955</v>
      </c>
      <c r="H42" s="131">
        <f>SUM(H43:H65)</f>
        <v>14068</v>
      </c>
      <c r="I42" s="131">
        <f>SUM(I43:I65)</f>
        <v>1071</v>
      </c>
      <c r="J42" s="470">
        <f>SUM(J43:J65)</f>
        <v>28952</v>
      </c>
      <c r="K42" s="131"/>
      <c r="L42" s="131">
        <f>SUM(L43:L65)</f>
        <v>232696.41</v>
      </c>
      <c r="M42" s="131"/>
      <c r="N42" s="131"/>
      <c r="O42" s="142">
        <f>SUM(O43:O65)</f>
        <v>222696.41</v>
      </c>
      <c r="P42" s="309"/>
      <c r="Q42" s="309"/>
      <c r="R42" s="309"/>
      <c r="S42" s="309"/>
    </row>
    <row r="43" spans="1:19" x14ac:dyDescent="0.25">
      <c r="A43" s="127"/>
      <c r="B43" s="127"/>
      <c r="C43" s="127"/>
      <c r="D43" s="127"/>
      <c r="E43" s="127">
        <v>4</v>
      </c>
      <c r="F43" s="127" t="s">
        <v>617</v>
      </c>
      <c r="G43" s="140">
        <v>15841</v>
      </c>
      <c r="H43" s="140">
        <v>2501</v>
      </c>
      <c r="I43" s="140"/>
      <c r="J43" s="129">
        <f t="shared" ref="J43:J65" si="5">+G43+H43-I43</f>
        <v>18342</v>
      </c>
      <c r="K43" s="129"/>
      <c r="L43" s="140">
        <v>26905.57</v>
      </c>
      <c r="M43" s="129"/>
      <c r="N43" s="129"/>
      <c r="O43" s="129">
        <f t="shared" ref="O43:O65" si="6">+L43+M43-N43</f>
        <v>26905.57</v>
      </c>
      <c r="P43" s="309"/>
      <c r="Q43" s="309"/>
      <c r="R43" s="309"/>
      <c r="S43" s="309"/>
    </row>
    <row r="44" spans="1:19" x14ac:dyDescent="0.25">
      <c r="A44" s="127"/>
      <c r="B44" s="127"/>
      <c r="C44" s="127"/>
      <c r="D44" s="127"/>
      <c r="E44" s="127">
        <v>7</v>
      </c>
      <c r="F44" s="127" t="s">
        <v>622</v>
      </c>
      <c r="G44" s="140"/>
      <c r="H44" s="140"/>
      <c r="I44" s="140"/>
      <c r="J44" s="129">
        <f t="shared" si="5"/>
        <v>0</v>
      </c>
      <c r="K44" s="129"/>
      <c r="L44" s="140">
        <v>0</v>
      </c>
      <c r="M44" s="129"/>
      <c r="N44" s="129"/>
      <c r="O44" s="129">
        <f t="shared" si="6"/>
        <v>0</v>
      </c>
      <c r="P44" s="309"/>
      <c r="Q44" s="309"/>
      <c r="R44" s="309"/>
      <c r="S44" s="309"/>
    </row>
    <row r="45" spans="1:19" x14ac:dyDescent="0.25">
      <c r="A45" s="127"/>
      <c r="B45" s="127"/>
      <c r="C45" s="127"/>
      <c r="D45" s="127"/>
      <c r="E45" s="127">
        <v>8</v>
      </c>
      <c r="F45" s="127" t="s">
        <v>618</v>
      </c>
      <c r="G45" s="140"/>
      <c r="H45" s="140">
        <v>10000</v>
      </c>
      <c r="I45" s="140">
        <v>1000</v>
      </c>
      <c r="J45" s="129">
        <f t="shared" si="5"/>
        <v>9000</v>
      </c>
      <c r="K45" s="129"/>
      <c r="L45" s="140">
        <v>0</v>
      </c>
      <c r="M45" s="129"/>
      <c r="N45" s="129"/>
      <c r="O45" s="129">
        <f t="shared" si="6"/>
        <v>0</v>
      </c>
      <c r="P45" s="309"/>
      <c r="Q45" s="309"/>
      <c r="R45" s="309"/>
      <c r="S45" s="309"/>
    </row>
    <row r="46" spans="1:19" x14ac:dyDescent="0.25">
      <c r="A46" s="127"/>
      <c r="B46" s="127"/>
      <c r="C46" s="127"/>
      <c r="D46" s="127"/>
      <c r="E46" s="127">
        <v>9</v>
      </c>
      <c r="F46" s="127" t="s">
        <v>619</v>
      </c>
      <c r="G46" s="140"/>
      <c r="H46" s="140"/>
      <c r="I46" s="140"/>
      <c r="J46" s="129">
        <f t="shared" si="5"/>
        <v>0</v>
      </c>
      <c r="K46" s="129"/>
      <c r="L46" s="140">
        <v>24800.02</v>
      </c>
      <c r="M46" s="129"/>
      <c r="N46" s="129"/>
      <c r="O46" s="129">
        <f t="shared" si="6"/>
        <v>24800.02</v>
      </c>
      <c r="P46" s="309"/>
      <c r="Q46" s="309"/>
      <c r="R46" s="309"/>
      <c r="S46" s="309"/>
    </row>
    <row r="47" spans="1:19" x14ac:dyDescent="0.25">
      <c r="A47" s="127"/>
      <c r="B47" s="127"/>
      <c r="C47" s="127"/>
      <c r="D47" s="127"/>
      <c r="E47" s="127">
        <v>12</v>
      </c>
      <c r="F47" s="127" t="s">
        <v>620</v>
      </c>
      <c r="G47" s="140"/>
      <c r="H47" s="140"/>
      <c r="I47" s="140"/>
      <c r="J47" s="129">
        <f t="shared" si="5"/>
        <v>0</v>
      </c>
      <c r="K47" s="129"/>
      <c r="L47" s="140">
        <v>0</v>
      </c>
      <c r="M47" s="129"/>
      <c r="N47" s="129"/>
      <c r="O47" s="129">
        <f t="shared" si="6"/>
        <v>0</v>
      </c>
      <c r="P47" s="309"/>
      <c r="Q47" s="309"/>
      <c r="R47" s="309"/>
      <c r="S47" s="309"/>
    </row>
    <row r="48" spans="1:19" x14ac:dyDescent="0.25">
      <c r="A48" s="127"/>
      <c r="B48" s="127"/>
      <c r="C48" s="127"/>
      <c r="D48" s="127"/>
      <c r="E48" s="127">
        <v>14</v>
      </c>
      <c r="F48" s="127" t="s">
        <v>623</v>
      </c>
      <c r="G48" s="140"/>
      <c r="H48" s="140"/>
      <c r="I48" s="140"/>
      <c r="J48" s="129">
        <f t="shared" si="5"/>
        <v>0</v>
      </c>
      <c r="K48" s="129"/>
      <c r="L48" s="140">
        <v>12000</v>
      </c>
      <c r="M48" s="129"/>
      <c r="N48" s="129"/>
      <c r="O48" s="129">
        <f t="shared" si="6"/>
        <v>12000</v>
      </c>
      <c r="P48" s="309"/>
      <c r="Q48" s="309"/>
      <c r="R48" s="309"/>
      <c r="S48" s="309"/>
    </row>
    <row r="49" spans="1:19" x14ac:dyDescent="0.25">
      <c r="A49" s="127"/>
      <c r="B49" s="127"/>
      <c r="C49" s="127"/>
      <c r="D49" s="127"/>
      <c r="E49" s="127">
        <v>16</v>
      </c>
      <c r="F49" s="127" t="s">
        <v>747</v>
      </c>
      <c r="G49" s="140"/>
      <c r="H49" s="140"/>
      <c r="I49" s="140"/>
      <c r="J49" s="129">
        <f t="shared" si="5"/>
        <v>0</v>
      </c>
      <c r="K49" s="129"/>
      <c r="L49" s="140">
        <v>0</v>
      </c>
      <c r="M49" s="129"/>
      <c r="N49" s="129"/>
      <c r="O49" s="129">
        <f t="shared" si="6"/>
        <v>0</v>
      </c>
      <c r="P49" s="309"/>
      <c r="Q49" s="309"/>
      <c r="R49" s="309"/>
      <c r="S49" s="309"/>
    </row>
    <row r="50" spans="1:19" x14ac:dyDescent="0.25">
      <c r="A50" s="127"/>
      <c r="B50" s="127"/>
      <c r="C50" s="127"/>
      <c r="D50" s="127"/>
      <c r="E50" s="127">
        <v>17</v>
      </c>
      <c r="F50" s="127" t="s">
        <v>748</v>
      </c>
      <c r="G50" s="140"/>
      <c r="H50" s="140"/>
      <c r="I50" s="140"/>
      <c r="J50" s="129">
        <f t="shared" si="5"/>
        <v>0</v>
      </c>
      <c r="K50" s="129"/>
      <c r="L50" s="140">
        <v>0</v>
      </c>
      <c r="M50" s="129"/>
      <c r="N50" s="129"/>
      <c r="O50" s="129">
        <f t="shared" si="6"/>
        <v>0</v>
      </c>
      <c r="P50" s="309"/>
      <c r="Q50" s="309"/>
      <c r="R50" s="309"/>
      <c r="S50" s="309"/>
    </row>
    <row r="51" spans="1:19" x14ac:dyDescent="0.25">
      <c r="A51" s="127"/>
      <c r="B51" s="127"/>
      <c r="C51" s="127"/>
      <c r="D51" s="127"/>
      <c r="E51" s="127">
        <v>19</v>
      </c>
      <c r="F51" s="127" t="s">
        <v>621</v>
      </c>
      <c r="G51" s="140"/>
      <c r="H51" s="140"/>
      <c r="I51" s="140"/>
      <c r="J51" s="129">
        <f t="shared" si="5"/>
        <v>0</v>
      </c>
      <c r="K51" s="129"/>
      <c r="L51" s="140">
        <v>0</v>
      </c>
      <c r="M51" s="129"/>
      <c r="N51" s="129"/>
      <c r="O51" s="129">
        <f t="shared" si="6"/>
        <v>0</v>
      </c>
      <c r="P51" s="309"/>
      <c r="Q51" s="309"/>
      <c r="R51" s="309"/>
      <c r="S51" s="309"/>
    </row>
    <row r="52" spans="1:19" x14ac:dyDescent="0.25">
      <c r="A52" s="127"/>
      <c r="B52" s="127"/>
      <c r="C52" s="127"/>
      <c r="D52" s="127"/>
      <c r="E52" s="127">
        <v>22</v>
      </c>
      <c r="F52" s="127" t="s">
        <v>624</v>
      </c>
      <c r="G52" s="140"/>
      <c r="H52" s="140"/>
      <c r="I52" s="140"/>
      <c r="J52" s="129">
        <f t="shared" si="5"/>
        <v>0</v>
      </c>
      <c r="K52" s="129"/>
      <c r="L52" s="140">
        <v>0</v>
      </c>
      <c r="M52" s="129"/>
      <c r="N52" s="129"/>
      <c r="O52" s="129">
        <f t="shared" si="6"/>
        <v>0</v>
      </c>
      <c r="P52" s="309"/>
      <c r="Q52" s="309"/>
      <c r="R52" s="309"/>
      <c r="S52" s="309"/>
    </row>
    <row r="53" spans="1:19" x14ac:dyDescent="0.25">
      <c r="A53" s="127"/>
      <c r="B53" s="127"/>
      <c r="C53" s="127"/>
      <c r="D53" s="127"/>
      <c r="E53" s="127">
        <v>24</v>
      </c>
      <c r="F53" s="127" t="s">
        <v>749</v>
      </c>
      <c r="G53" s="140"/>
      <c r="H53" s="140"/>
      <c r="I53" s="140"/>
      <c r="J53" s="129">
        <f t="shared" si="5"/>
        <v>0</v>
      </c>
      <c r="K53" s="129"/>
      <c r="L53" s="140">
        <v>0</v>
      </c>
      <c r="M53" s="129"/>
      <c r="N53" s="129"/>
      <c r="O53" s="129">
        <f t="shared" si="6"/>
        <v>0</v>
      </c>
      <c r="P53" s="309"/>
      <c r="Q53" s="309"/>
      <c r="R53" s="309"/>
      <c r="S53" s="309"/>
    </row>
    <row r="54" spans="1:19" x14ac:dyDescent="0.25">
      <c r="A54" s="127"/>
      <c r="B54" s="127"/>
      <c r="C54" s="127"/>
      <c r="D54" s="127"/>
      <c r="E54" s="127">
        <v>25</v>
      </c>
      <c r="F54" s="127" t="s">
        <v>1020</v>
      </c>
      <c r="G54" s="140"/>
      <c r="H54" s="140"/>
      <c r="I54" s="140"/>
      <c r="J54" s="129">
        <f t="shared" si="5"/>
        <v>0</v>
      </c>
      <c r="K54" s="129"/>
      <c r="L54" s="140">
        <v>10000</v>
      </c>
      <c r="M54" s="129"/>
      <c r="N54" s="129"/>
      <c r="O54" s="129"/>
      <c r="P54" s="309"/>
      <c r="Q54" s="309"/>
      <c r="R54" s="309"/>
      <c r="S54" s="309"/>
    </row>
    <row r="55" spans="1:19" x14ac:dyDescent="0.25">
      <c r="A55" s="127"/>
      <c r="B55" s="127"/>
      <c r="C55" s="127"/>
      <c r="D55" s="127"/>
      <c r="E55" s="127">
        <v>26</v>
      </c>
      <c r="F55" s="127" t="s">
        <v>1125</v>
      </c>
      <c r="G55" s="140"/>
      <c r="H55" s="140"/>
      <c r="I55" s="140"/>
      <c r="J55" s="129">
        <f t="shared" si="5"/>
        <v>0</v>
      </c>
      <c r="K55" s="129"/>
      <c r="L55" s="140"/>
      <c r="M55" s="129"/>
      <c r="N55" s="129"/>
      <c r="O55" s="129"/>
      <c r="P55" s="309"/>
      <c r="Q55" s="309"/>
      <c r="R55" s="309"/>
      <c r="S55" s="309"/>
    </row>
    <row r="56" spans="1:19" x14ac:dyDescent="0.25">
      <c r="A56" s="127"/>
      <c r="B56" s="127"/>
      <c r="C56" s="127"/>
      <c r="D56" s="127"/>
      <c r="E56" s="127">
        <v>27</v>
      </c>
      <c r="F56" s="127" t="s">
        <v>1126</v>
      </c>
      <c r="G56" s="140"/>
      <c r="H56" s="140"/>
      <c r="I56" s="140"/>
      <c r="J56" s="129">
        <f t="shared" si="5"/>
        <v>0</v>
      </c>
      <c r="K56" s="129"/>
      <c r="L56" s="140"/>
      <c r="M56" s="129"/>
      <c r="N56" s="129"/>
      <c r="O56" s="129"/>
      <c r="P56" s="309"/>
      <c r="Q56" s="309"/>
      <c r="R56" s="309"/>
      <c r="S56" s="309"/>
    </row>
    <row r="57" spans="1:19" x14ac:dyDescent="0.25">
      <c r="A57" s="127"/>
      <c r="B57" s="127"/>
      <c r="C57" s="127"/>
      <c r="D57" s="127"/>
      <c r="E57" s="127">
        <v>28</v>
      </c>
      <c r="F57" s="127" t="s">
        <v>1127</v>
      </c>
      <c r="G57" s="140"/>
      <c r="H57" s="140"/>
      <c r="I57" s="140"/>
      <c r="J57" s="129">
        <f t="shared" si="5"/>
        <v>0</v>
      </c>
      <c r="K57" s="129"/>
      <c r="L57" s="140"/>
      <c r="M57" s="129"/>
      <c r="N57" s="129"/>
      <c r="O57" s="129"/>
      <c r="P57" s="309"/>
      <c r="Q57" s="309"/>
      <c r="R57" s="309"/>
      <c r="S57" s="309"/>
    </row>
    <row r="58" spans="1:19" x14ac:dyDescent="0.25">
      <c r="A58" s="127"/>
      <c r="B58" s="127"/>
      <c r="C58" s="127"/>
      <c r="D58" s="127"/>
      <c r="E58" s="127">
        <v>29</v>
      </c>
      <c r="F58" s="127" t="s">
        <v>1138</v>
      </c>
      <c r="G58" s="140">
        <v>36</v>
      </c>
      <c r="H58" s="140"/>
      <c r="I58" s="140"/>
      <c r="J58" s="129">
        <f t="shared" si="5"/>
        <v>36</v>
      </c>
      <c r="K58" s="129"/>
      <c r="L58" s="140"/>
      <c r="M58" s="129"/>
      <c r="N58" s="129"/>
      <c r="O58" s="129"/>
      <c r="P58" s="309"/>
      <c r="Q58" s="309"/>
      <c r="R58" s="309"/>
      <c r="S58" s="309"/>
    </row>
    <row r="59" spans="1:19" x14ac:dyDescent="0.25">
      <c r="A59" s="127"/>
      <c r="B59" s="127"/>
      <c r="C59" s="127"/>
      <c r="D59" s="127"/>
      <c r="E59" s="127">
        <v>30</v>
      </c>
      <c r="F59" s="127" t="s">
        <v>1136</v>
      </c>
      <c r="G59" s="140">
        <v>78</v>
      </c>
      <c r="H59" s="140">
        <v>1567</v>
      </c>
      <c r="I59" s="140">
        <v>71</v>
      </c>
      <c r="J59" s="129">
        <f t="shared" ref="J59:J60" si="7">+G59+H59-I59</f>
        <v>1574</v>
      </c>
      <c r="K59" s="129"/>
      <c r="L59" s="140"/>
      <c r="M59" s="129"/>
      <c r="N59" s="129"/>
      <c r="O59" s="129"/>
      <c r="P59" s="309"/>
      <c r="Q59" s="309"/>
      <c r="R59" s="309"/>
      <c r="S59" s="309"/>
    </row>
    <row r="60" spans="1:19" x14ac:dyDescent="0.25">
      <c r="A60" s="127"/>
      <c r="B60" s="127"/>
      <c r="C60" s="127"/>
      <c r="D60" s="127"/>
      <c r="E60" s="127">
        <v>31</v>
      </c>
      <c r="F60" s="127" t="s">
        <v>1139</v>
      </c>
      <c r="G60" s="140"/>
      <c r="H60" s="140"/>
      <c r="I60" s="140"/>
      <c r="J60" s="129">
        <f t="shared" si="7"/>
        <v>0</v>
      </c>
      <c r="K60" s="129"/>
      <c r="L60" s="140"/>
      <c r="M60" s="129"/>
      <c r="N60" s="129"/>
      <c r="O60" s="129"/>
      <c r="P60" s="309"/>
      <c r="Q60" s="309"/>
      <c r="R60" s="309"/>
      <c r="S60" s="309"/>
    </row>
    <row r="61" spans="1:19" x14ac:dyDescent="0.25">
      <c r="A61" s="127"/>
      <c r="B61" s="127"/>
      <c r="C61" s="127"/>
      <c r="D61" s="127"/>
      <c r="E61" s="127">
        <v>32</v>
      </c>
      <c r="F61" s="127" t="s">
        <v>1140</v>
      </c>
      <c r="G61" s="140"/>
      <c r="H61" s="140"/>
      <c r="I61" s="140"/>
      <c r="J61" s="129">
        <f t="shared" si="5"/>
        <v>0</v>
      </c>
      <c r="K61" s="129"/>
      <c r="L61" s="140"/>
      <c r="M61" s="129"/>
      <c r="N61" s="129"/>
      <c r="O61" s="129"/>
      <c r="P61" s="309"/>
      <c r="Q61" s="309"/>
      <c r="R61" s="309"/>
      <c r="S61" s="309"/>
    </row>
    <row r="62" spans="1:19" x14ac:dyDescent="0.25">
      <c r="A62" s="127"/>
      <c r="B62" s="127"/>
      <c r="C62" s="127"/>
      <c r="D62" s="127"/>
      <c r="E62" s="127" t="s">
        <v>625</v>
      </c>
      <c r="F62" s="127" t="s">
        <v>626</v>
      </c>
      <c r="G62" s="140"/>
      <c r="H62" s="140"/>
      <c r="I62" s="140"/>
      <c r="J62" s="129">
        <f t="shared" si="5"/>
        <v>0</v>
      </c>
      <c r="K62" s="129"/>
      <c r="L62" s="140">
        <v>158990.82</v>
      </c>
      <c r="M62" s="129"/>
      <c r="N62" s="129"/>
      <c r="O62" s="129">
        <f t="shared" si="6"/>
        <v>158990.82</v>
      </c>
      <c r="P62" s="309"/>
      <c r="Q62" s="309"/>
      <c r="R62" s="309"/>
      <c r="S62" s="309"/>
    </row>
    <row r="63" spans="1:19" x14ac:dyDescent="0.25">
      <c r="A63" s="127"/>
      <c r="B63" s="127"/>
      <c r="C63" s="127"/>
      <c r="D63" s="127"/>
      <c r="E63" s="127" t="s">
        <v>627</v>
      </c>
      <c r="F63" s="127" t="s">
        <v>630</v>
      </c>
      <c r="G63" s="140"/>
      <c r="H63" s="140"/>
      <c r="I63" s="140"/>
      <c r="J63" s="129">
        <f t="shared" si="5"/>
        <v>0</v>
      </c>
      <c r="K63" s="129"/>
      <c r="L63" s="140">
        <v>0</v>
      </c>
      <c r="M63" s="129"/>
      <c r="N63" s="129"/>
      <c r="O63" s="129">
        <f t="shared" si="6"/>
        <v>0</v>
      </c>
      <c r="P63" s="309"/>
      <c r="Q63" s="309"/>
      <c r="R63" s="309"/>
      <c r="S63" s="309"/>
    </row>
    <row r="64" spans="1:19" x14ac:dyDescent="0.25">
      <c r="A64" s="127"/>
      <c r="B64" s="127"/>
      <c r="C64" s="127"/>
      <c r="D64" s="127"/>
      <c r="E64" s="127" t="s">
        <v>750</v>
      </c>
      <c r="F64" s="127" t="s">
        <v>751</v>
      </c>
      <c r="G64" s="140"/>
      <c r="H64" s="140"/>
      <c r="I64" s="140"/>
      <c r="J64" s="129">
        <f t="shared" si="5"/>
        <v>0</v>
      </c>
      <c r="K64" s="129"/>
      <c r="L64" s="140">
        <v>0</v>
      </c>
      <c r="M64" s="129"/>
      <c r="N64" s="129"/>
      <c r="O64" s="129">
        <f t="shared" si="6"/>
        <v>0</v>
      </c>
      <c r="P64" s="309"/>
      <c r="Q64" s="309"/>
      <c r="R64" s="309"/>
      <c r="S64" s="309"/>
    </row>
    <row r="65" spans="1:19" x14ac:dyDescent="0.25">
      <c r="A65" s="127"/>
      <c r="B65" s="127"/>
      <c r="C65" s="127"/>
      <c r="D65" s="127"/>
      <c r="E65" s="127" t="s">
        <v>628</v>
      </c>
      <c r="F65" s="127" t="s">
        <v>629</v>
      </c>
      <c r="G65" s="140"/>
      <c r="H65" s="140"/>
      <c r="I65" s="140"/>
      <c r="J65" s="129">
        <f t="shared" si="5"/>
        <v>0</v>
      </c>
      <c r="K65" s="129"/>
      <c r="L65" s="140">
        <v>0</v>
      </c>
      <c r="M65" s="129"/>
      <c r="N65" s="129"/>
      <c r="O65" s="129">
        <f t="shared" si="6"/>
        <v>0</v>
      </c>
      <c r="P65" s="309"/>
      <c r="Q65" s="309"/>
      <c r="R65" s="309"/>
      <c r="S65" s="309"/>
    </row>
    <row r="66" spans="1:19" x14ac:dyDescent="0.25">
      <c r="A66" s="127">
        <v>1</v>
      </c>
      <c r="B66" s="127">
        <v>1</v>
      </c>
      <c r="C66" s="127">
        <v>2</v>
      </c>
      <c r="D66" s="127">
        <v>4</v>
      </c>
      <c r="E66" s="127"/>
      <c r="F66" s="127" t="s">
        <v>255</v>
      </c>
      <c r="G66" s="127"/>
      <c r="H66" s="127"/>
      <c r="I66" s="127"/>
      <c r="J66" s="129"/>
      <c r="K66" s="129"/>
      <c r="L66" s="127"/>
      <c r="M66" s="129"/>
      <c r="N66" s="129"/>
      <c r="O66" s="129"/>
      <c r="P66" s="309"/>
      <c r="Q66" s="309"/>
      <c r="R66" s="309"/>
      <c r="S66" s="309"/>
    </row>
    <row r="67" spans="1:19" x14ac:dyDescent="0.25">
      <c r="A67" s="127">
        <v>1</v>
      </c>
      <c r="B67" s="127">
        <v>1</v>
      </c>
      <c r="C67" s="127">
        <v>2</v>
      </c>
      <c r="D67" s="127">
        <v>5</v>
      </c>
      <c r="E67" s="127"/>
      <c r="F67" s="127" t="s">
        <v>256</v>
      </c>
      <c r="G67" s="127"/>
      <c r="H67" s="127"/>
      <c r="I67" s="127"/>
      <c r="J67" s="129"/>
      <c r="K67" s="129"/>
      <c r="L67" s="127"/>
      <c r="M67" s="129"/>
      <c r="N67" s="129"/>
      <c r="O67" s="129"/>
      <c r="P67" s="309"/>
      <c r="Q67" s="309"/>
      <c r="R67" s="309"/>
      <c r="S67" s="309"/>
    </row>
    <row r="68" spans="1:19" x14ac:dyDescent="0.25">
      <c r="A68" s="127">
        <v>1</v>
      </c>
      <c r="B68" s="127">
        <v>1</v>
      </c>
      <c r="C68" s="127">
        <v>2</v>
      </c>
      <c r="D68" s="127">
        <v>6</v>
      </c>
      <c r="E68" s="127"/>
      <c r="F68" s="127" t="s">
        <v>257</v>
      </c>
      <c r="G68" s="127"/>
      <c r="H68" s="127"/>
      <c r="I68" s="127"/>
      <c r="J68" s="129"/>
      <c r="K68" s="129"/>
      <c r="L68" s="127"/>
      <c r="M68" s="129"/>
      <c r="N68" s="129"/>
      <c r="O68" s="129"/>
      <c r="P68" s="309"/>
      <c r="Q68" s="309"/>
      <c r="R68" s="309"/>
      <c r="S68" s="309"/>
    </row>
    <row r="69" spans="1:19" ht="24" x14ac:dyDescent="0.25">
      <c r="A69" s="132">
        <v>1</v>
      </c>
      <c r="B69" s="132">
        <v>1</v>
      </c>
      <c r="C69" s="132">
        <v>2</v>
      </c>
      <c r="D69" s="132">
        <v>9</v>
      </c>
      <c r="E69" s="132"/>
      <c r="F69" s="132" t="s">
        <v>258</v>
      </c>
      <c r="G69" s="141">
        <f>G70</f>
        <v>0</v>
      </c>
      <c r="H69" s="141">
        <f t="shared" ref="H69:O69" si="8">H70</f>
        <v>1298</v>
      </c>
      <c r="I69" s="141">
        <f t="shared" si="8"/>
        <v>992</v>
      </c>
      <c r="J69" s="141">
        <f t="shared" si="8"/>
        <v>306</v>
      </c>
      <c r="K69" s="141"/>
      <c r="L69" s="141">
        <f>L70</f>
        <v>0</v>
      </c>
      <c r="M69" s="141"/>
      <c r="N69" s="141"/>
      <c r="O69" s="141">
        <f t="shared" si="8"/>
        <v>0</v>
      </c>
      <c r="P69" s="309"/>
      <c r="Q69" s="309"/>
      <c r="R69" s="309"/>
      <c r="S69" s="309"/>
    </row>
    <row r="70" spans="1:19" x14ac:dyDescent="0.25">
      <c r="A70" s="138"/>
      <c r="B70" s="138"/>
      <c r="C70" s="138"/>
      <c r="D70" s="138"/>
      <c r="E70" s="138"/>
      <c r="F70" s="138" t="s">
        <v>839</v>
      </c>
      <c r="G70" s="152">
        <v>0</v>
      </c>
      <c r="H70" s="152">
        <v>1298</v>
      </c>
      <c r="I70" s="152">
        <v>992</v>
      </c>
      <c r="J70" s="129">
        <f t="shared" ref="J70" si="9">+G70+H70-I70</f>
        <v>306</v>
      </c>
      <c r="K70" s="153"/>
      <c r="L70" s="152">
        <v>0</v>
      </c>
      <c r="M70" s="153"/>
      <c r="N70" s="153"/>
      <c r="O70" s="153">
        <f>+L70+M70-N70</f>
        <v>0</v>
      </c>
      <c r="P70" s="309"/>
      <c r="Q70" s="309"/>
      <c r="R70" s="309"/>
      <c r="S70" s="309"/>
    </row>
    <row r="71" spans="1:19" x14ac:dyDescent="0.25">
      <c r="A71" s="127">
        <v>1</v>
      </c>
      <c r="B71" s="127">
        <v>1</v>
      </c>
      <c r="C71" s="127">
        <v>3</v>
      </c>
      <c r="D71" s="127"/>
      <c r="E71" s="127"/>
      <c r="F71" s="128" t="s">
        <v>103</v>
      </c>
      <c r="G71" s="128"/>
      <c r="H71" s="128"/>
      <c r="I71" s="128"/>
      <c r="J71" s="129"/>
      <c r="K71" s="129"/>
      <c r="L71" s="128"/>
      <c r="M71" s="129"/>
      <c r="N71" s="129"/>
      <c r="O71" s="129"/>
      <c r="P71" s="309"/>
      <c r="Q71" s="309"/>
      <c r="R71" s="309"/>
      <c r="S71" s="309"/>
    </row>
    <row r="72" spans="1:19" ht="24" x14ac:dyDescent="0.25">
      <c r="A72" s="127">
        <v>1</v>
      </c>
      <c r="B72" s="127">
        <v>1</v>
      </c>
      <c r="C72" s="127">
        <v>3</v>
      </c>
      <c r="D72" s="127">
        <v>1</v>
      </c>
      <c r="E72" s="127"/>
      <c r="F72" s="127" t="s">
        <v>259</v>
      </c>
      <c r="G72" s="127"/>
      <c r="H72" s="127"/>
      <c r="I72" s="127"/>
      <c r="J72" s="129"/>
      <c r="K72" s="129"/>
      <c r="L72" s="127"/>
      <c r="M72" s="129"/>
      <c r="N72" s="129"/>
      <c r="O72" s="129"/>
      <c r="P72" s="309"/>
      <c r="Q72" s="309"/>
      <c r="R72" s="309"/>
      <c r="S72" s="309"/>
    </row>
    <row r="73" spans="1:19" ht="24" x14ac:dyDescent="0.25">
      <c r="A73" s="127">
        <v>1</v>
      </c>
      <c r="B73" s="127">
        <v>1</v>
      </c>
      <c r="C73" s="127">
        <v>3</v>
      </c>
      <c r="D73" s="127">
        <v>2</v>
      </c>
      <c r="E73" s="127"/>
      <c r="F73" s="127" t="s">
        <v>260</v>
      </c>
      <c r="G73" s="127"/>
      <c r="H73" s="127"/>
      <c r="I73" s="127"/>
      <c r="J73" s="129"/>
      <c r="K73" s="129"/>
      <c r="L73" s="127"/>
      <c r="M73" s="129"/>
      <c r="N73" s="129"/>
      <c r="O73" s="129"/>
      <c r="P73" s="309"/>
      <c r="Q73" s="309"/>
      <c r="R73" s="309"/>
      <c r="S73" s="309"/>
    </row>
    <row r="74" spans="1:19" ht="24" x14ac:dyDescent="0.25">
      <c r="A74" s="127">
        <v>1</v>
      </c>
      <c r="B74" s="127">
        <v>1</v>
      </c>
      <c r="C74" s="127">
        <v>3</v>
      </c>
      <c r="D74" s="127">
        <v>3</v>
      </c>
      <c r="E74" s="127"/>
      <c r="F74" s="127" t="s">
        <v>261</v>
      </c>
      <c r="G74" s="127"/>
      <c r="H74" s="127"/>
      <c r="I74" s="127"/>
      <c r="J74" s="129"/>
      <c r="K74" s="129"/>
      <c r="L74" s="127"/>
      <c r="M74" s="129"/>
      <c r="N74" s="129"/>
      <c r="O74" s="129"/>
      <c r="P74" s="309"/>
      <c r="Q74" s="309"/>
      <c r="R74" s="309"/>
      <c r="S74" s="309"/>
    </row>
    <row r="75" spans="1:19" ht="24" x14ac:dyDescent="0.25">
      <c r="A75" s="127">
        <v>1</v>
      </c>
      <c r="B75" s="127">
        <v>1</v>
      </c>
      <c r="C75" s="127">
        <v>3</v>
      </c>
      <c r="D75" s="127">
        <v>4</v>
      </c>
      <c r="E75" s="127"/>
      <c r="F75" s="127" t="s">
        <v>262</v>
      </c>
      <c r="G75" s="127"/>
      <c r="H75" s="127"/>
      <c r="I75" s="127"/>
      <c r="J75" s="129"/>
      <c r="K75" s="129"/>
      <c r="L75" s="127"/>
      <c r="M75" s="129"/>
      <c r="N75" s="129"/>
      <c r="O75" s="129"/>
      <c r="P75" s="309"/>
      <c r="Q75" s="309"/>
      <c r="R75" s="309"/>
      <c r="S75" s="309"/>
    </row>
    <row r="76" spans="1:19" ht="24" x14ac:dyDescent="0.25">
      <c r="A76" s="127">
        <v>1</v>
      </c>
      <c r="B76" s="127">
        <v>1</v>
      </c>
      <c r="C76" s="127">
        <v>3</v>
      </c>
      <c r="D76" s="127">
        <v>9</v>
      </c>
      <c r="E76" s="127"/>
      <c r="F76" s="127" t="s">
        <v>263</v>
      </c>
      <c r="G76" s="127"/>
      <c r="H76" s="127"/>
      <c r="I76" s="127"/>
      <c r="J76" s="129"/>
      <c r="K76" s="129"/>
      <c r="L76" s="127"/>
      <c r="M76" s="129"/>
      <c r="N76" s="129"/>
      <c r="O76" s="129"/>
      <c r="P76" s="309"/>
      <c r="Q76" s="309"/>
      <c r="R76" s="309"/>
      <c r="S76" s="309"/>
    </row>
    <row r="77" spans="1:19" x14ac:dyDescent="0.25">
      <c r="A77" s="127">
        <v>1</v>
      </c>
      <c r="B77" s="127">
        <v>1</v>
      </c>
      <c r="C77" s="127">
        <v>4</v>
      </c>
      <c r="D77" s="127"/>
      <c r="E77" s="127"/>
      <c r="F77" s="128" t="s">
        <v>264</v>
      </c>
      <c r="G77" s="128"/>
      <c r="H77" s="128"/>
      <c r="I77" s="128"/>
      <c r="J77" s="129"/>
      <c r="K77" s="129"/>
      <c r="L77" s="128"/>
      <c r="M77" s="129"/>
      <c r="N77" s="129"/>
      <c r="O77" s="129"/>
      <c r="P77" s="309"/>
      <c r="Q77" s="309"/>
      <c r="R77" s="309"/>
      <c r="S77" s="309"/>
    </row>
    <row r="78" spans="1:19" x14ac:dyDescent="0.25">
      <c r="A78" s="127">
        <v>1</v>
      </c>
      <c r="B78" s="127">
        <v>1</v>
      </c>
      <c r="C78" s="127">
        <v>4</v>
      </c>
      <c r="D78" s="127">
        <v>1</v>
      </c>
      <c r="E78" s="127"/>
      <c r="F78" s="127" t="s">
        <v>265</v>
      </c>
      <c r="G78" s="127"/>
      <c r="H78" s="127"/>
      <c r="I78" s="127"/>
      <c r="J78" s="129"/>
      <c r="K78" s="129"/>
      <c r="L78" s="127"/>
      <c r="M78" s="129"/>
      <c r="N78" s="129"/>
      <c r="O78" s="129"/>
      <c r="P78" s="309"/>
      <c r="Q78" s="309"/>
      <c r="R78" s="309"/>
      <c r="S78" s="309"/>
    </row>
    <row r="79" spans="1:19" x14ac:dyDescent="0.25">
      <c r="A79" s="127">
        <v>1</v>
      </c>
      <c r="B79" s="127">
        <v>1</v>
      </c>
      <c r="C79" s="127">
        <v>4</v>
      </c>
      <c r="D79" s="127">
        <v>2</v>
      </c>
      <c r="E79" s="127"/>
      <c r="F79" s="127" t="s">
        <v>266</v>
      </c>
      <c r="G79" s="127"/>
      <c r="H79" s="127"/>
      <c r="I79" s="127"/>
      <c r="J79" s="129"/>
      <c r="K79" s="129"/>
      <c r="L79" s="127"/>
      <c r="M79" s="129"/>
      <c r="N79" s="129"/>
      <c r="O79" s="129"/>
      <c r="P79" s="309"/>
      <c r="Q79" s="309"/>
      <c r="R79" s="309"/>
      <c r="S79" s="309"/>
    </row>
    <row r="80" spans="1:19" x14ac:dyDescent="0.25">
      <c r="A80" s="127">
        <v>1</v>
      </c>
      <c r="B80" s="127">
        <v>1</v>
      </c>
      <c r="C80" s="127">
        <v>4</v>
      </c>
      <c r="D80" s="127">
        <v>3</v>
      </c>
      <c r="E80" s="127"/>
      <c r="F80" s="127" t="s">
        <v>267</v>
      </c>
      <c r="G80" s="127"/>
      <c r="H80" s="127"/>
      <c r="I80" s="127"/>
      <c r="J80" s="129"/>
      <c r="K80" s="129"/>
      <c r="L80" s="127"/>
      <c r="M80" s="129"/>
      <c r="N80" s="129"/>
      <c r="O80" s="129"/>
      <c r="P80" s="309"/>
      <c r="Q80" s="309"/>
      <c r="R80" s="309"/>
      <c r="S80" s="309"/>
    </row>
    <row r="81" spans="1:19" ht="24" x14ac:dyDescent="0.25">
      <c r="A81" s="127">
        <v>1</v>
      </c>
      <c r="B81" s="127">
        <v>1</v>
      </c>
      <c r="C81" s="127">
        <v>4</v>
      </c>
      <c r="D81" s="127">
        <v>4</v>
      </c>
      <c r="E81" s="127"/>
      <c r="F81" s="127" t="s">
        <v>268</v>
      </c>
      <c r="G81" s="127"/>
      <c r="H81" s="127"/>
      <c r="I81" s="127"/>
      <c r="J81" s="129"/>
      <c r="K81" s="129"/>
      <c r="L81" s="127"/>
      <c r="M81" s="129"/>
      <c r="N81" s="129"/>
      <c r="O81" s="129"/>
      <c r="P81" s="309"/>
      <c r="Q81" s="309"/>
      <c r="R81" s="309"/>
      <c r="S81" s="309"/>
    </row>
    <row r="82" spans="1:19" x14ac:dyDescent="0.25">
      <c r="A82" s="127">
        <v>1</v>
      </c>
      <c r="B82" s="127">
        <v>1</v>
      </c>
      <c r="C82" s="127">
        <v>4</v>
      </c>
      <c r="D82" s="127">
        <v>5</v>
      </c>
      <c r="E82" s="127"/>
      <c r="F82" s="127" t="s">
        <v>269</v>
      </c>
      <c r="G82" s="127"/>
      <c r="H82" s="127"/>
      <c r="I82" s="127"/>
      <c r="J82" s="129"/>
      <c r="K82" s="129"/>
      <c r="L82" s="127"/>
      <c r="M82" s="129"/>
      <c r="N82" s="129"/>
      <c r="O82" s="129"/>
      <c r="P82" s="309"/>
      <c r="Q82" s="309"/>
      <c r="R82" s="309"/>
      <c r="S82" s="309"/>
    </row>
    <row r="83" spans="1:19" x14ac:dyDescent="0.25">
      <c r="A83" s="127">
        <v>1</v>
      </c>
      <c r="B83" s="127">
        <v>1</v>
      </c>
      <c r="C83" s="127">
        <v>5</v>
      </c>
      <c r="D83" s="127"/>
      <c r="E83" s="127"/>
      <c r="F83" s="128" t="s">
        <v>107</v>
      </c>
      <c r="G83" s="128"/>
      <c r="H83" s="128"/>
      <c r="I83" s="128"/>
      <c r="J83" s="129"/>
      <c r="K83" s="129"/>
      <c r="L83" s="128"/>
      <c r="M83" s="129"/>
      <c r="N83" s="129"/>
      <c r="O83" s="129"/>
      <c r="P83" s="309"/>
      <c r="Q83" s="309"/>
      <c r="R83" s="309"/>
      <c r="S83" s="309"/>
    </row>
    <row r="84" spans="1:19" x14ac:dyDescent="0.25">
      <c r="A84" s="127">
        <v>1</v>
      </c>
      <c r="B84" s="127">
        <v>1</v>
      </c>
      <c r="C84" s="127">
        <v>5</v>
      </c>
      <c r="D84" s="127">
        <v>1</v>
      </c>
      <c r="E84" s="127"/>
      <c r="F84" s="127" t="s">
        <v>270</v>
      </c>
      <c r="G84" s="127"/>
      <c r="H84" s="127"/>
      <c r="I84" s="127"/>
      <c r="J84" s="129"/>
      <c r="K84" s="129"/>
      <c r="L84" s="127"/>
      <c r="M84" s="129"/>
      <c r="N84" s="129"/>
      <c r="O84" s="129"/>
      <c r="P84" s="309"/>
      <c r="Q84" s="309"/>
      <c r="R84" s="309"/>
      <c r="S84" s="309"/>
    </row>
    <row r="85" spans="1:19" ht="24" x14ac:dyDescent="0.25">
      <c r="A85" s="127">
        <v>1</v>
      </c>
      <c r="B85" s="127">
        <v>1</v>
      </c>
      <c r="C85" s="127">
        <v>6</v>
      </c>
      <c r="D85" s="127"/>
      <c r="E85" s="127"/>
      <c r="F85" s="128" t="s">
        <v>109</v>
      </c>
      <c r="G85" s="128"/>
      <c r="H85" s="128"/>
      <c r="I85" s="128"/>
      <c r="J85" s="129"/>
      <c r="K85" s="129"/>
      <c r="L85" s="128"/>
      <c r="M85" s="129"/>
      <c r="N85" s="129"/>
      <c r="O85" s="129"/>
      <c r="P85" s="309"/>
      <c r="Q85" s="309"/>
      <c r="R85" s="309"/>
      <c r="S85" s="309"/>
    </row>
    <row r="86" spans="1:19" ht="24" x14ac:dyDescent="0.25">
      <c r="A86" s="127">
        <v>1</v>
      </c>
      <c r="B86" s="127">
        <v>1</v>
      </c>
      <c r="C86" s="127">
        <v>6</v>
      </c>
      <c r="D86" s="127">
        <v>1</v>
      </c>
      <c r="E86" s="127"/>
      <c r="F86" s="127" t="s">
        <v>271</v>
      </c>
      <c r="G86" s="127"/>
      <c r="H86" s="127"/>
      <c r="I86" s="127"/>
      <c r="J86" s="129"/>
      <c r="K86" s="129"/>
      <c r="L86" s="127"/>
      <c r="M86" s="129"/>
      <c r="N86" s="129"/>
      <c r="O86" s="129"/>
      <c r="P86" s="309"/>
      <c r="Q86" s="309"/>
      <c r="R86" s="309"/>
      <c r="S86" s="309"/>
    </row>
    <row r="87" spans="1:19" x14ac:dyDescent="0.25">
      <c r="A87" s="127">
        <v>1</v>
      </c>
      <c r="B87" s="127">
        <v>1</v>
      </c>
      <c r="C87" s="127">
        <v>6</v>
      </c>
      <c r="D87" s="127">
        <v>2</v>
      </c>
      <c r="E87" s="127"/>
      <c r="F87" s="127" t="s">
        <v>272</v>
      </c>
      <c r="G87" s="127"/>
      <c r="H87" s="127"/>
      <c r="I87" s="127"/>
      <c r="J87" s="129"/>
      <c r="K87" s="129"/>
      <c r="L87" s="127"/>
      <c r="M87" s="129"/>
      <c r="N87" s="129"/>
      <c r="O87" s="129"/>
      <c r="P87" s="309"/>
      <c r="Q87" s="309"/>
      <c r="R87" s="309"/>
      <c r="S87" s="309"/>
    </row>
    <row r="88" spans="1:19" x14ac:dyDescent="0.25">
      <c r="A88" s="127">
        <v>1</v>
      </c>
      <c r="B88" s="127">
        <v>1</v>
      </c>
      <c r="C88" s="127">
        <v>9</v>
      </c>
      <c r="D88" s="127"/>
      <c r="E88" s="127"/>
      <c r="F88" s="128" t="s">
        <v>273</v>
      </c>
      <c r="G88" s="128"/>
      <c r="H88" s="128"/>
      <c r="I88" s="128"/>
      <c r="J88" s="129"/>
      <c r="K88" s="129"/>
      <c r="L88" s="128"/>
      <c r="M88" s="129"/>
      <c r="N88" s="129"/>
      <c r="O88" s="129"/>
      <c r="P88" s="309"/>
      <c r="Q88" s="309"/>
      <c r="R88" s="309"/>
      <c r="S88" s="309"/>
    </row>
    <row r="89" spans="1:19" x14ac:dyDescent="0.25">
      <c r="A89" s="127">
        <v>1</v>
      </c>
      <c r="B89" s="127">
        <v>1</v>
      </c>
      <c r="C89" s="127">
        <v>9</v>
      </c>
      <c r="D89" s="127">
        <v>1</v>
      </c>
      <c r="E89" s="127"/>
      <c r="F89" s="127" t="s">
        <v>274</v>
      </c>
      <c r="G89" s="127"/>
      <c r="H89" s="127"/>
      <c r="I89" s="127"/>
      <c r="J89" s="129"/>
      <c r="K89" s="129"/>
      <c r="L89" s="127"/>
      <c r="M89" s="129"/>
      <c r="N89" s="129"/>
      <c r="O89" s="129"/>
      <c r="P89" s="309"/>
      <c r="Q89" s="309"/>
      <c r="R89" s="309"/>
      <c r="S89" s="309"/>
    </row>
    <row r="90" spans="1:19" x14ac:dyDescent="0.25">
      <c r="A90" s="127">
        <v>1</v>
      </c>
      <c r="B90" s="127">
        <v>1</v>
      </c>
      <c r="C90" s="127">
        <v>9</v>
      </c>
      <c r="D90" s="127">
        <v>2</v>
      </c>
      <c r="E90" s="127"/>
      <c r="F90" s="127" t="s">
        <v>275</v>
      </c>
      <c r="G90" s="127"/>
      <c r="H90" s="127"/>
      <c r="I90" s="127"/>
      <c r="J90" s="129"/>
      <c r="K90" s="129"/>
      <c r="L90" s="127"/>
      <c r="M90" s="129"/>
      <c r="N90" s="129"/>
      <c r="O90" s="129"/>
      <c r="P90" s="309"/>
      <c r="Q90" s="309"/>
      <c r="R90" s="309"/>
      <c r="S90" s="309"/>
    </row>
    <row r="91" spans="1:19" ht="24" x14ac:dyDescent="0.25">
      <c r="A91" s="127">
        <v>1</v>
      </c>
      <c r="B91" s="127">
        <v>1</v>
      </c>
      <c r="C91" s="127">
        <v>9</v>
      </c>
      <c r="D91" s="127">
        <v>3</v>
      </c>
      <c r="E91" s="127"/>
      <c r="F91" s="127" t="s">
        <v>276</v>
      </c>
      <c r="G91" s="127"/>
      <c r="H91" s="127"/>
      <c r="I91" s="127"/>
      <c r="J91" s="129"/>
      <c r="K91" s="129"/>
      <c r="L91" s="127"/>
      <c r="M91" s="129"/>
      <c r="N91" s="129"/>
      <c r="O91" s="129"/>
      <c r="P91" s="309"/>
      <c r="Q91" s="309"/>
      <c r="R91" s="309"/>
      <c r="S91" s="309"/>
    </row>
    <row r="92" spans="1:19" x14ac:dyDescent="0.25">
      <c r="A92" s="136">
        <v>1</v>
      </c>
      <c r="B92" s="136">
        <v>2</v>
      </c>
      <c r="C92" s="136"/>
      <c r="D92" s="136"/>
      <c r="E92" s="136"/>
      <c r="F92" s="136" t="s">
        <v>277</v>
      </c>
      <c r="G92" s="155">
        <f>+G93+G98+G104+G114+G211+G222+G228+G236+G242</f>
        <v>3401308.94</v>
      </c>
      <c r="H92" s="155">
        <f t="shared" ref="H92:O92" si="10">+H93+H98+H104+H114+H211+H222+H228+H236+H242</f>
        <v>0</v>
      </c>
      <c r="I92" s="155">
        <f t="shared" si="10"/>
        <v>181998.5</v>
      </c>
      <c r="J92" s="155">
        <f t="shared" si="10"/>
        <v>3219309.44</v>
      </c>
      <c r="K92" s="155"/>
      <c r="L92" s="155">
        <f>+L93+L98+L104+L114+L211+L222+L228+L236+L242</f>
        <v>3263816.94</v>
      </c>
      <c r="M92" s="155"/>
      <c r="N92" s="155"/>
      <c r="O92" s="155">
        <f t="shared" si="10"/>
        <v>3124116.94</v>
      </c>
      <c r="P92" s="309"/>
      <c r="Q92" s="309"/>
      <c r="R92" s="309"/>
      <c r="S92" s="309"/>
    </row>
    <row r="93" spans="1:19" x14ac:dyDescent="0.25">
      <c r="A93" s="127">
        <v>1</v>
      </c>
      <c r="B93" s="127">
        <v>2</v>
      </c>
      <c r="C93" s="127">
        <v>1</v>
      </c>
      <c r="D93" s="127"/>
      <c r="E93" s="127"/>
      <c r="F93" s="128" t="s">
        <v>118</v>
      </c>
      <c r="G93" s="128"/>
      <c r="H93" s="128"/>
      <c r="I93" s="128"/>
      <c r="J93" s="129"/>
      <c r="K93" s="129"/>
      <c r="L93" s="128"/>
      <c r="M93" s="129"/>
      <c r="N93" s="129"/>
      <c r="O93" s="129"/>
      <c r="P93" s="309"/>
      <c r="Q93" s="309"/>
      <c r="R93" s="309"/>
      <c r="S93" s="309"/>
    </row>
    <row r="94" spans="1:19" x14ac:dyDescent="0.25">
      <c r="A94" s="127">
        <v>1</v>
      </c>
      <c r="B94" s="127">
        <v>2</v>
      </c>
      <c r="C94" s="127">
        <v>1</v>
      </c>
      <c r="D94" s="127">
        <v>1</v>
      </c>
      <c r="E94" s="127"/>
      <c r="F94" s="127" t="s">
        <v>278</v>
      </c>
      <c r="G94" s="127"/>
      <c r="H94" s="127"/>
      <c r="I94" s="127"/>
      <c r="J94" s="129"/>
      <c r="K94" s="129"/>
      <c r="L94" s="127"/>
      <c r="M94" s="129"/>
      <c r="N94" s="129"/>
      <c r="O94" s="129"/>
      <c r="P94" s="309"/>
      <c r="Q94" s="309"/>
      <c r="R94" s="309"/>
      <c r="S94" s="309"/>
    </row>
    <row r="95" spans="1:19" x14ac:dyDescent="0.25">
      <c r="A95" s="127">
        <v>1</v>
      </c>
      <c r="B95" s="127">
        <v>2</v>
      </c>
      <c r="C95" s="127">
        <v>1</v>
      </c>
      <c r="D95" s="127">
        <v>2</v>
      </c>
      <c r="E95" s="127"/>
      <c r="F95" s="127" t="s">
        <v>279</v>
      </c>
      <c r="G95" s="127"/>
      <c r="H95" s="127"/>
      <c r="I95" s="127"/>
      <c r="J95" s="129"/>
      <c r="K95" s="129"/>
      <c r="L95" s="127"/>
      <c r="M95" s="129"/>
      <c r="N95" s="129"/>
      <c r="O95" s="129"/>
      <c r="P95" s="309"/>
      <c r="Q95" s="309"/>
      <c r="R95" s="309"/>
      <c r="S95" s="309"/>
    </row>
    <row r="96" spans="1:19" x14ac:dyDescent="0.25">
      <c r="A96" s="127">
        <v>1</v>
      </c>
      <c r="B96" s="127">
        <v>2</v>
      </c>
      <c r="C96" s="127">
        <v>1</v>
      </c>
      <c r="D96" s="127">
        <v>3</v>
      </c>
      <c r="E96" s="127"/>
      <c r="F96" s="127" t="s">
        <v>280</v>
      </c>
      <c r="G96" s="127"/>
      <c r="H96" s="127"/>
      <c r="I96" s="127"/>
      <c r="J96" s="129"/>
      <c r="K96" s="129"/>
      <c r="L96" s="127"/>
      <c r="M96" s="129"/>
      <c r="N96" s="129"/>
      <c r="O96" s="129"/>
      <c r="P96" s="309"/>
      <c r="Q96" s="309"/>
      <c r="R96" s="309"/>
      <c r="S96" s="309"/>
    </row>
    <row r="97" spans="1:19" x14ac:dyDescent="0.25">
      <c r="A97" s="127">
        <v>1</v>
      </c>
      <c r="B97" s="127">
        <v>2</v>
      </c>
      <c r="C97" s="127">
        <v>1</v>
      </c>
      <c r="D97" s="127">
        <v>4</v>
      </c>
      <c r="E97" s="127"/>
      <c r="F97" s="127" t="s">
        <v>281</v>
      </c>
      <c r="G97" s="127"/>
      <c r="H97" s="127"/>
      <c r="I97" s="127"/>
      <c r="J97" s="129"/>
      <c r="K97" s="129"/>
      <c r="L97" s="127"/>
      <c r="M97" s="129"/>
      <c r="N97" s="129"/>
      <c r="O97" s="129"/>
      <c r="P97" s="309"/>
      <c r="Q97" s="309"/>
      <c r="R97" s="309"/>
      <c r="S97" s="309"/>
    </row>
    <row r="98" spans="1:19" ht="24" x14ac:dyDescent="0.25">
      <c r="A98" s="127">
        <v>1</v>
      </c>
      <c r="B98" s="127">
        <v>2</v>
      </c>
      <c r="C98" s="127">
        <v>2</v>
      </c>
      <c r="D98" s="127"/>
      <c r="E98" s="127"/>
      <c r="F98" s="128" t="s">
        <v>120</v>
      </c>
      <c r="G98" s="128"/>
      <c r="H98" s="128"/>
      <c r="I98" s="128"/>
      <c r="J98" s="129"/>
      <c r="K98" s="129"/>
      <c r="L98" s="128"/>
      <c r="M98" s="129"/>
      <c r="N98" s="129"/>
      <c r="O98" s="129"/>
      <c r="P98" s="309"/>
      <c r="Q98" s="309"/>
      <c r="R98" s="309"/>
      <c r="S98" s="309"/>
    </row>
    <row r="99" spans="1:19" x14ac:dyDescent="0.25">
      <c r="A99" s="127">
        <v>1</v>
      </c>
      <c r="B99" s="127">
        <v>2</v>
      </c>
      <c r="C99" s="127">
        <v>2</v>
      </c>
      <c r="D99" s="127">
        <v>1</v>
      </c>
      <c r="E99" s="127"/>
      <c r="F99" s="127" t="s">
        <v>282</v>
      </c>
      <c r="G99" s="127"/>
      <c r="H99" s="127"/>
      <c r="I99" s="127"/>
      <c r="J99" s="129"/>
      <c r="K99" s="129"/>
      <c r="L99" s="127"/>
      <c r="M99" s="129"/>
      <c r="N99" s="129"/>
      <c r="O99" s="129"/>
      <c r="P99" s="309"/>
      <c r="Q99" s="309"/>
      <c r="R99" s="309"/>
      <c r="S99" s="309"/>
    </row>
    <row r="100" spans="1:19" x14ac:dyDescent="0.25">
      <c r="A100" s="127">
        <v>1</v>
      </c>
      <c r="B100" s="127">
        <v>2</v>
      </c>
      <c r="C100" s="127">
        <v>2</v>
      </c>
      <c r="D100" s="127">
        <v>2</v>
      </c>
      <c r="E100" s="127"/>
      <c r="F100" s="127" t="s">
        <v>283</v>
      </c>
      <c r="G100" s="127"/>
      <c r="H100" s="127"/>
      <c r="I100" s="127"/>
      <c r="J100" s="129"/>
      <c r="K100" s="129"/>
      <c r="L100" s="127"/>
      <c r="M100" s="129"/>
      <c r="N100" s="129"/>
      <c r="O100" s="129"/>
      <c r="P100" s="309"/>
      <c r="Q100" s="309"/>
      <c r="R100" s="309"/>
      <c r="S100" s="309"/>
    </row>
    <row r="101" spans="1:19" x14ac:dyDescent="0.25">
      <c r="A101" s="127">
        <v>1</v>
      </c>
      <c r="B101" s="127">
        <v>2</v>
      </c>
      <c r="C101" s="127">
        <v>2</v>
      </c>
      <c r="D101" s="127">
        <v>3</v>
      </c>
      <c r="E101" s="127"/>
      <c r="F101" s="127" t="s">
        <v>284</v>
      </c>
      <c r="G101" s="127"/>
      <c r="H101" s="127"/>
      <c r="I101" s="127"/>
      <c r="J101" s="129"/>
      <c r="K101" s="129"/>
      <c r="L101" s="127"/>
      <c r="M101" s="129"/>
      <c r="N101" s="129"/>
      <c r="O101" s="129"/>
      <c r="P101" s="309"/>
      <c r="Q101" s="309"/>
      <c r="R101" s="309"/>
      <c r="S101" s="309"/>
    </row>
    <row r="102" spans="1:19" x14ac:dyDescent="0.25">
      <c r="A102" s="127">
        <v>1</v>
      </c>
      <c r="B102" s="127">
        <v>2</v>
      </c>
      <c r="C102" s="127">
        <v>2</v>
      </c>
      <c r="D102" s="127">
        <v>4</v>
      </c>
      <c r="E102" s="127"/>
      <c r="F102" s="127" t="s">
        <v>285</v>
      </c>
      <c r="G102" s="127"/>
      <c r="H102" s="127"/>
      <c r="I102" s="127"/>
      <c r="J102" s="129"/>
      <c r="K102" s="129"/>
      <c r="L102" s="127"/>
      <c r="M102" s="129"/>
      <c r="N102" s="129"/>
      <c r="O102" s="129"/>
      <c r="P102" s="309"/>
      <c r="Q102" s="309"/>
      <c r="R102" s="309"/>
      <c r="S102" s="309"/>
    </row>
    <row r="103" spans="1:19" ht="24" x14ac:dyDescent="0.25">
      <c r="A103" s="127">
        <v>1</v>
      </c>
      <c r="B103" s="127">
        <v>2</v>
      </c>
      <c r="C103" s="127">
        <v>2</v>
      </c>
      <c r="D103" s="127">
        <v>9</v>
      </c>
      <c r="E103" s="127"/>
      <c r="F103" s="127" t="s">
        <v>286</v>
      </c>
      <c r="G103" s="127"/>
      <c r="H103" s="127"/>
      <c r="I103" s="127"/>
      <c r="J103" s="129"/>
      <c r="K103" s="129"/>
      <c r="L103" s="127"/>
      <c r="M103" s="129"/>
      <c r="N103" s="129"/>
      <c r="O103" s="129"/>
      <c r="P103" s="309"/>
      <c r="Q103" s="309"/>
      <c r="R103" s="309"/>
      <c r="S103" s="309"/>
    </row>
    <row r="104" spans="1:19" ht="24" x14ac:dyDescent="0.25">
      <c r="A104" s="132">
        <v>1</v>
      </c>
      <c r="B104" s="132">
        <v>2</v>
      </c>
      <c r="C104" s="132">
        <v>3</v>
      </c>
      <c r="D104" s="132"/>
      <c r="E104" s="132"/>
      <c r="F104" s="135" t="s">
        <v>122</v>
      </c>
      <c r="G104" s="131">
        <f>+G105+G106+G107+G110+G111+G112+G113</f>
        <v>867420.59</v>
      </c>
      <c r="H104" s="131">
        <f t="shared" ref="H104:O104" si="11">+H105+H106+H107+H110+H111+H112+H113</f>
        <v>0</v>
      </c>
      <c r="I104" s="131">
        <f t="shared" si="11"/>
        <v>0</v>
      </c>
      <c r="J104" s="131">
        <f t="shared" si="11"/>
        <v>867420.59</v>
      </c>
      <c r="K104" s="131"/>
      <c r="L104" s="131">
        <f>+L105+L106+L107+L110+L111+L112+L113</f>
        <v>867420.59</v>
      </c>
      <c r="M104" s="131"/>
      <c r="N104" s="131"/>
      <c r="O104" s="131">
        <f t="shared" si="11"/>
        <v>867420.59</v>
      </c>
      <c r="P104" s="309"/>
      <c r="Q104" s="309"/>
      <c r="R104" s="309"/>
      <c r="S104" s="309"/>
    </row>
    <row r="105" spans="1:19" x14ac:dyDescent="0.25">
      <c r="A105" s="127">
        <v>1</v>
      </c>
      <c r="B105" s="127">
        <v>2</v>
      </c>
      <c r="C105" s="127">
        <v>3</v>
      </c>
      <c r="D105" s="127">
        <v>1</v>
      </c>
      <c r="E105" s="127"/>
      <c r="F105" s="127" t="s">
        <v>287</v>
      </c>
      <c r="G105" s="127"/>
      <c r="H105" s="127"/>
      <c r="I105" s="127"/>
      <c r="J105" s="129"/>
      <c r="K105" s="129"/>
      <c r="L105" s="127"/>
      <c r="M105" s="129"/>
      <c r="N105" s="129"/>
      <c r="O105" s="129"/>
      <c r="P105" s="309"/>
      <c r="Q105" s="309"/>
      <c r="R105" s="309"/>
      <c r="S105" s="309"/>
    </row>
    <row r="106" spans="1:19" x14ac:dyDescent="0.25">
      <c r="A106" s="127">
        <v>1</v>
      </c>
      <c r="B106" s="127">
        <v>2</v>
      </c>
      <c r="C106" s="127">
        <v>3</v>
      </c>
      <c r="D106" s="127">
        <v>2</v>
      </c>
      <c r="E106" s="127"/>
      <c r="F106" s="127" t="s">
        <v>288</v>
      </c>
      <c r="G106" s="127"/>
      <c r="H106" s="127"/>
      <c r="I106" s="127"/>
      <c r="J106" s="129"/>
      <c r="K106" s="129"/>
      <c r="L106" s="127"/>
      <c r="M106" s="129"/>
      <c r="N106" s="129"/>
      <c r="O106" s="129"/>
      <c r="P106" s="309"/>
      <c r="Q106" s="309"/>
      <c r="R106" s="309"/>
      <c r="S106" s="309"/>
    </row>
    <row r="107" spans="1:19" x14ac:dyDescent="0.25">
      <c r="A107" s="127">
        <v>1</v>
      </c>
      <c r="B107" s="127">
        <v>2</v>
      </c>
      <c r="C107" s="127">
        <v>3</v>
      </c>
      <c r="D107" s="127">
        <v>3</v>
      </c>
      <c r="E107" s="127"/>
      <c r="F107" s="127" t="s">
        <v>289</v>
      </c>
      <c r="G107" s="134">
        <f>+G108+G109</f>
        <v>867420.59</v>
      </c>
      <c r="H107" s="134">
        <f t="shared" ref="H107:I107" si="12">+H108+H109</f>
        <v>0</v>
      </c>
      <c r="I107" s="134">
        <f t="shared" si="12"/>
        <v>0</v>
      </c>
      <c r="J107" s="134">
        <f>+J108+J109</f>
        <v>867420.59</v>
      </c>
      <c r="K107" s="134"/>
      <c r="L107" s="134">
        <f>+L108+L109</f>
        <v>867420.59</v>
      </c>
      <c r="M107" s="134"/>
      <c r="N107" s="134"/>
      <c r="O107" s="134">
        <f>+O108+O109</f>
        <v>867420.59</v>
      </c>
      <c r="P107" s="309"/>
      <c r="Q107" s="309"/>
      <c r="R107" s="309"/>
      <c r="S107" s="309"/>
    </row>
    <row r="108" spans="1:19" x14ac:dyDescent="0.25">
      <c r="A108" s="127"/>
      <c r="B108" s="127"/>
      <c r="C108" s="127"/>
      <c r="D108" s="127"/>
      <c r="E108" s="127"/>
      <c r="F108" s="339" t="s">
        <v>706</v>
      </c>
      <c r="G108" s="340">
        <v>236544.33</v>
      </c>
      <c r="H108" s="129">
        <f t="shared" ref="H108:H109" si="13">+H109+H110</f>
        <v>0</v>
      </c>
      <c r="I108" s="129">
        <f t="shared" ref="I108:I109" si="14">+I109+I110</f>
        <v>0</v>
      </c>
      <c r="J108" s="340">
        <f>+G108+H108-I108</f>
        <v>236544.33</v>
      </c>
      <c r="K108" s="340"/>
      <c r="L108" s="340">
        <v>236544.33</v>
      </c>
      <c r="M108" s="340"/>
      <c r="N108" s="340"/>
      <c r="O108" s="340">
        <f>+L108+M108-N108</f>
        <v>236544.33</v>
      </c>
      <c r="P108" s="309"/>
      <c r="Q108" s="473"/>
      <c r="R108" s="309"/>
      <c r="S108" s="309"/>
    </row>
    <row r="109" spans="1:19" x14ac:dyDescent="0.25">
      <c r="A109" s="127"/>
      <c r="B109" s="127"/>
      <c r="C109" s="127"/>
      <c r="D109" s="127"/>
      <c r="E109" s="127"/>
      <c r="F109" s="339" t="s">
        <v>707</v>
      </c>
      <c r="G109" s="340">
        <v>630876.26</v>
      </c>
      <c r="H109" s="129">
        <f t="shared" si="13"/>
        <v>0</v>
      </c>
      <c r="I109" s="129">
        <f t="shared" si="14"/>
        <v>0</v>
      </c>
      <c r="J109" s="340">
        <f>+G109+H109-I109</f>
        <v>630876.26</v>
      </c>
      <c r="K109" s="340"/>
      <c r="L109" s="340">
        <v>630876.26</v>
      </c>
      <c r="M109" s="340"/>
      <c r="N109" s="340"/>
      <c r="O109" s="340">
        <f>+L109+M109-N109</f>
        <v>630876.26</v>
      </c>
      <c r="P109" s="309"/>
      <c r="Q109" s="309"/>
      <c r="R109" s="309"/>
      <c r="S109" s="309"/>
    </row>
    <row r="110" spans="1:19" x14ac:dyDescent="0.25">
      <c r="A110" s="127">
        <v>1</v>
      </c>
      <c r="B110" s="127">
        <v>2</v>
      </c>
      <c r="C110" s="127">
        <v>3</v>
      </c>
      <c r="D110" s="127">
        <v>4</v>
      </c>
      <c r="E110" s="127"/>
      <c r="F110" s="127" t="s">
        <v>290</v>
      </c>
      <c r="G110" s="127"/>
      <c r="H110" s="127"/>
      <c r="I110" s="127"/>
      <c r="J110" s="129"/>
      <c r="K110" s="129"/>
      <c r="L110" s="127"/>
      <c r="M110" s="129"/>
      <c r="N110" s="129"/>
      <c r="O110" s="129"/>
      <c r="P110" s="309"/>
      <c r="Q110" s="309"/>
      <c r="R110" s="309"/>
      <c r="S110" s="309"/>
    </row>
    <row r="111" spans="1:19" ht="24" x14ac:dyDescent="0.25">
      <c r="A111" s="127">
        <v>1</v>
      </c>
      <c r="B111" s="127">
        <v>2</v>
      </c>
      <c r="C111" s="127">
        <v>3</v>
      </c>
      <c r="D111" s="127">
        <v>5</v>
      </c>
      <c r="E111" s="127"/>
      <c r="F111" s="127" t="s">
        <v>291</v>
      </c>
      <c r="G111" s="127"/>
      <c r="H111" s="127"/>
      <c r="I111" s="127"/>
      <c r="J111" s="129"/>
      <c r="K111" s="129"/>
      <c r="L111" s="127"/>
      <c r="M111" s="129"/>
      <c r="N111" s="129"/>
      <c r="O111" s="129"/>
      <c r="P111" s="309"/>
      <c r="Q111" s="309"/>
      <c r="R111" s="309"/>
      <c r="S111" s="309"/>
    </row>
    <row r="112" spans="1:19" x14ac:dyDescent="0.25">
      <c r="A112" s="127">
        <v>1</v>
      </c>
      <c r="B112" s="127">
        <v>2</v>
      </c>
      <c r="C112" s="127">
        <v>3</v>
      </c>
      <c r="D112" s="127">
        <v>6</v>
      </c>
      <c r="E112" s="127"/>
      <c r="F112" s="127" t="s">
        <v>292</v>
      </c>
      <c r="G112" s="127"/>
      <c r="H112" s="127"/>
      <c r="I112" s="127"/>
      <c r="J112" s="129"/>
      <c r="K112" s="129"/>
      <c r="L112" s="127"/>
      <c r="M112" s="129"/>
      <c r="N112" s="129"/>
      <c r="O112" s="129"/>
      <c r="P112" s="309"/>
      <c r="Q112" s="309"/>
      <c r="R112" s="309"/>
      <c r="S112" s="309"/>
    </row>
    <row r="113" spans="1:19" x14ac:dyDescent="0.25">
      <c r="A113" s="127">
        <v>1</v>
      </c>
      <c r="B113" s="127">
        <v>2</v>
      </c>
      <c r="C113" s="127">
        <v>3</v>
      </c>
      <c r="D113" s="127">
        <v>9</v>
      </c>
      <c r="E113" s="127"/>
      <c r="F113" s="127" t="s">
        <v>293</v>
      </c>
      <c r="G113" s="127"/>
      <c r="H113" s="127"/>
      <c r="I113" s="127"/>
      <c r="J113" s="129"/>
      <c r="K113" s="129"/>
      <c r="L113" s="127"/>
      <c r="M113" s="129"/>
      <c r="N113" s="129"/>
      <c r="O113" s="129"/>
      <c r="P113" s="309"/>
      <c r="Q113" s="309"/>
      <c r="R113" s="309"/>
      <c r="S113" s="309"/>
    </row>
    <row r="114" spans="1:19" x14ac:dyDescent="0.25">
      <c r="A114" s="132">
        <v>1</v>
      </c>
      <c r="B114" s="132">
        <v>2</v>
      </c>
      <c r="C114" s="132">
        <v>4</v>
      </c>
      <c r="D114" s="132"/>
      <c r="E114" s="132"/>
      <c r="F114" s="135" t="s">
        <v>124</v>
      </c>
      <c r="G114" s="131">
        <f>+G115+G136+G142+G143+G151+G152+G209+G210</f>
        <v>2488176.27</v>
      </c>
      <c r="H114" s="131">
        <f t="shared" ref="H114" si="15">+H115+H136+H142+H143+H151+H152+H209+H210</f>
        <v>0</v>
      </c>
      <c r="I114" s="131">
        <f>+I115+I136+I142+I143+I151+I152+I209+I210-1</f>
        <v>181998.5</v>
      </c>
      <c r="J114" s="131">
        <f>+J115+J136+J142+J143+J151+J152+J209+J210</f>
        <v>2306176.77</v>
      </c>
      <c r="K114" s="131"/>
      <c r="L114" s="131">
        <f>+L115+L136+L142+L143+L151+L152+L209+L210</f>
        <v>2350685.27</v>
      </c>
      <c r="M114" s="131"/>
      <c r="N114" s="131"/>
      <c r="O114" s="131">
        <f>+O115+O136+O142+O143+O151+O152+O209+O210+1</f>
        <v>2210985.27</v>
      </c>
      <c r="P114" s="309"/>
      <c r="Q114" s="309"/>
      <c r="R114" s="309"/>
      <c r="S114" s="309"/>
    </row>
    <row r="115" spans="1:19" x14ac:dyDescent="0.25">
      <c r="A115" s="127">
        <v>1</v>
      </c>
      <c r="B115" s="127">
        <v>2</v>
      </c>
      <c r="C115" s="127">
        <v>4</v>
      </c>
      <c r="D115" s="127">
        <v>1</v>
      </c>
      <c r="E115" s="127"/>
      <c r="F115" s="127" t="s">
        <v>294</v>
      </c>
      <c r="G115" s="134">
        <f>SUM(G116:G135)+1</f>
        <v>291650.16999999993</v>
      </c>
      <c r="H115" s="134">
        <f t="shared" ref="H115:I115" si="16">SUM(H116:H135)</f>
        <v>0</v>
      </c>
      <c r="I115" s="134">
        <f t="shared" si="16"/>
        <v>38436</v>
      </c>
      <c r="J115" s="134">
        <f>SUM(J116:J135)+1</f>
        <v>253214.16999999998</v>
      </c>
      <c r="K115" s="134"/>
      <c r="L115" s="134">
        <f>SUM(L116:L135)+1</f>
        <v>154159.17000000001</v>
      </c>
      <c r="M115" s="134"/>
      <c r="N115" s="134"/>
      <c r="O115" s="134">
        <f>SUM(O116:O135)</f>
        <v>154158.17000000001</v>
      </c>
      <c r="P115" s="309"/>
      <c r="Q115" s="309"/>
      <c r="R115" s="309"/>
      <c r="S115" s="309"/>
    </row>
    <row r="116" spans="1:19" x14ac:dyDescent="0.25">
      <c r="A116" s="127"/>
      <c r="B116" s="127"/>
      <c r="C116" s="127"/>
      <c r="D116" s="127"/>
      <c r="E116" s="127">
        <v>1</v>
      </c>
      <c r="F116" s="339" t="s">
        <v>631</v>
      </c>
      <c r="G116" s="340">
        <v>33925</v>
      </c>
      <c r="H116" s="340">
        <v>0</v>
      </c>
      <c r="I116" s="340">
        <v>31050</v>
      </c>
      <c r="J116" s="340">
        <f t="shared" ref="J116:J141" si="17">+G116+H116-I116</f>
        <v>2875</v>
      </c>
      <c r="K116" s="340"/>
      <c r="L116" s="340">
        <v>33925</v>
      </c>
      <c r="M116" s="340"/>
      <c r="N116" s="340"/>
      <c r="O116" s="340">
        <f t="shared" ref="O116:O141" si="18">+L116+M116-N116</f>
        <v>33925</v>
      </c>
      <c r="P116" s="309"/>
      <c r="Q116" s="309"/>
      <c r="R116" s="309"/>
      <c r="S116" s="309"/>
    </row>
    <row r="117" spans="1:19" x14ac:dyDescent="0.25">
      <c r="A117" s="127"/>
      <c r="B117" s="127"/>
      <c r="C117" s="127"/>
      <c r="D117" s="127"/>
      <c r="E117" s="127">
        <v>2</v>
      </c>
      <c r="F117" s="339" t="s">
        <v>632</v>
      </c>
      <c r="G117" s="340">
        <v>23719</v>
      </c>
      <c r="H117" s="340">
        <v>0</v>
      </c>
      <c r="I117" s="340">
        <v>0</v>
      </c>
      <c r="J117" s="340">
        <f t="shared" si="17"/>
        <v>23719</v>
      </c>
      <c r="K117" s="340"/>
      <c r="L117" s="340">
        <v>23719</v>
      </c>
      <c r="M117" s="340"/>
      <c r="N117" s="340"/>
      <c r="O117" s="340">
        <f t="shared" si="18"/>
        <v>23719</v>
      </c>
      <c r="P117" s="309"/>
      <c r="Q117" s="309"/>
      <c r="R117" s="309"/>
      <c r="S117" s="309"/>
    </row>
    <row r="118" spans="1:19" x14ac:dyDescent="0.25">
      <c r="A118" s="127"/>
      <c r="B118" s="127"/>
      <c r="C118" s="127"/>
      <c r="D118" s="127"/>
      <c r="E118" s="127">
        <v>3</v>
      </c>
      <c r="F118" s="339" t="s">
        <v>633</v>
      </c>
      <c r="G118" s="340">
        <v>6789.99</v>
      </c>
      <c r="H118" s="340">
        <v>0</v>
      </c>
      <c r="I118" s="340">
        <v>1978</v>
      </c>
      <c r="J118" s="340">
        <f t="shared" si="17"/>
        <v>4811.99</v>
      </c>
      <c r="K118" s="340"/>
      <c r="L118" s="340">
        <v>6789.99</v>
      </c>
      <c r="M118" s="340"/>
      <c r="N118" s="340"/>
      <c r="O118" s="340">
        <f t="shared" si="18"/>
        <v>6789.99</v>
      </c>
      <c r="P118" s="309"/>
      <c r="Q118" s="309"/>
      <c r="R118" s="309"/>
      <c r="S118" s="309"/>
    </row>
    <row r="119" spans="1:19" x14ac:dyDescent="0.25">
      <c r="A119" s="127"/>
      <c r="B119" s="127"/>
      <c r="C119" s="127"/>
      <c r="D119" s="127"/>
      <c r="E119" s="127">
        <v>4</v>
      </c>
      <c r="F119" s="339" t="s">
        <v>634</v>
      </c>
      <c r="G119" s="340">
        <v>137491</v>
      </c>
      <c r="H119" s="340">
        <v>0</v>
      </c>
      <c r="I119" s="340">
        <v>0</v>
      </c>
      <c r="J119" s="340">
        <f t="shared" si="17"/>
        <v>137491</v>
      </c>
      <c r="K119" s="340"/>
      <c r="L119" s="340">
        <v>0</v>
      </c>
      <c r="M119" s="340"/>
      <c r="N119" s="340"/>
      <c r="O119" s="340">
        <f t="shared" si="18"/>
        <v>0</v>
      </c>
      <c r="P119" s="309"/>
      <c r="Q119" s="309"/>
      <c r="R119" s="309"/>
      <c r="S119" s="309"/>
    </row>
    <row r="120" spans="1:19" x14ac:dyDescent="0.25">
      <c r="A120" s="127"/>
      <c r="B120" s="127"/>
      <c r="C120" s="127"/>
      <c r="D120" s="127"/>
      <c r="E120" s="127">
        <v>5</v>
      </c>
      <c r="F120" s="339" t="s">
        <v>635</v>
      </c>
      <c r="G120" s="340">
        <v>17294.34</v>
      </c>
      <c r="H120" s="340">
        <v>0</v>
      </c>
      <c r="I120" s="340">
        <v>0</v>
      </c>
      <c r="J120" s="340">
        <f t="shared" si="17"/>
        <v>17294.34</v>
      </c>
      <c r="K120" s="340"/>
      <c r="L120" s="340">
        <v>17294.34</v>
      </c>
      <c r="M120" s="340"/>
      <c r="N120" s="340"/>
      <c r="O120" s="340">
        <f t="shared" si="18"/>
        <v>17294.34</v>
      </c>
      <c r="P120" s="309"/>
      <c r="Q120" s="309"/>
      <c r="R120" s="309"/>
      <c r="S120" s="309"/>
    </row>
    <row r="121" spans="1:19" x14ac:dyDescent="0.25">
      <c r="A121" s="127"/>
      <c r="B121" s="127"/>
      <c r="C121" s="127"/>
      <c r="D121" s="127"/>
      <c r="E121" s="127">
        <v>6</v>
      </c>
      <c r="F121" s="339" t="s">
        <v>636</v>
      </c>
      <c r="G121" s="340">
        <v>1592.06</v>
      </c>
      <c r="H121" s="340">
        <v>0</v>
      </c>
      <c r="I121" s="340">
        <v>0</v>
      </c>
      <c r="J121" s="340">
        <f t="shared" si="17"/>
        <v>1592.06</v>
      </c>
      <c r="K121" s="340"/>
      <c r="L121" s="340">
        <v>1592.06</v>
      </c>
      <c r="M121" s="340"/>
      <c r="N121" s="340"/>
      <c r="O121" s="340">
        <f t="shared" si="18"/>
        <v>1592.06</v>
      </c>
      <c r="P121" s="309"/>
      <c r="Q121" s="309"/>
      <c r="R121" s="309"/>
      <c r="S121" s="309"/>
    </row>
    <row r="122" spans="1:19" x14ac:dyDescent="0.25">
      <c r="A122" s="127"/>
      <c r="B122" s="127"/>
      <c r="C122" s="127"/>
      <c r="D122" s="127"/>
      <c r="E122" s="127">
        <v>7</v>
      </c>
      <c r="F122" s="339" t="s">
        <v>637</v>
      </c>
      <c r="G122" s="340">
        <v>4500</v>
      </c>
      <c r="H122" s="340">
        <v>0</v>
      </c>
      <c r="I122" s="340">
        <v>4500</v>
      </c>
      <c r="J122" s="340">
        <f t="shared" si="17"/>
        <v>0</v>
      </c>
      <c r="K122" s="340"/>
      <c r="L122" s="340">
        <v>4500</v>
      </c>
      <c r="M122" s="340"/>
      <c r="N122" s="340"/>
      <c r="O122" s="340">
        <f t="shared" si="18"/>
        <v>4500</v>
      </c>
      <c r="P122" s="309"/>
      <c r="Q122" s="309"/>
      <c r="R122" s="309"/>
      <c r="S122" s="309"/>
    </row>
    <row r="123" spans="1:19" x14ac:dyDescent="0.25">
      <c r="A123" s="127"/>
      <c r="B123" s="127"/>
      <c r="C123" s="127"/>
      <c r="D123" s="127"/>
      <c r="E123" s="127">
        <v>8</v>
      </c>
      <c r="F123" s="339" t="s">
        <v>638</v>
      </c>
      <c r="G123" s="340">
        <v>15850.76</v>
      </c>
      <c r="H123" s="340">
        <v>0</v>
      </c>
      <c r="I123" s="340">
        <v>0</v>
      </c>
      <c r="J123" s="340">
        <f t="shared" si="17"/>
        <v>15850.76</v>
      </c>
      <c r="K123" s="340"/>
      <c r="L123" s="340">
        <v>15850.76</v>
      </c>
      <c r="M123" s="340"/>
      <c r="N123" s="340"/>
      <c r="O123" s="340">
        <f t="shared" si="18"/>
        <v>15850.76</v>
      </c>
      <c r="P123" s="309"/>
      <c r="Q123" s="309"/>
      <c r="R123" s="309"/>
      <c r="S123" s="309"/>
    </row>
    <row r="124" spans="1:19" x14ac:dyDescent="0.25">
      <c r="A124" s="127"/>
      <c r="B124" s="127"/>
      <c r="C124" s="127"/>
      <c r="D124" s="127"/>
      <c r="E124" s="127">
        <v>9</v>
      </c>
      <c r="F124" s="339" t="s">
        <v>639</v>
      </c>
      <c r="G124" s="340">
        <v>5348.71</v>
      </c>
      <c r="H124" s="340">
        <v>0</v>
      </c>
      <c r="I124" s="340">
        <v>0</v>
      </c>
      <c r="J124" s="340">
        <f t="shared" si="17"/>
        <v>5348.71</v>
      </c>
      <c r="K124" s="340"/>
      <c r="L124" s="340">
        <v>5348.71</v>
      </c>
      <c r="M124" s="340"/>
      <c r="N124" s="340"/>
      <c r="O124" s="340">
        <f t="shared" si="18"/>
        <v>5348.71</v>
      </c>
      <c r="P124" s="309"/>
      <c r="Q124" s="309"/>
      <c r="R124" s="309"/>
      <c r="S124" s="309"/>
    </row>
    <row r="125" spans="1:19" x14ac:dyDescent="0.25">
      <c r="A125" s="127"/>
      <c r="B125" s="127"/>
      <c r="C125" s="127"/>
      <c r="D125" s="127"/>
      <c r="E125" s="127">
        <v>10</v>
      </c>
      <c r="F125" s="339" t="s">
        <v>640</v>
      </c>
      <c r="G125" s="340">
        <v>3220</v>
      </c>
      <c r="H125" s="340">
        <v>0</v>
      </c>
      <c r="I125" s="340">
        <v>0</v>
      </c>
      <c r="J125" s="340">
        <f t="shared" si="17"/>
        <v>3220</v>
      </c>
      <c r="K125" s="340"/>
      <c r="L125" s="340">
        <v>3220</v>
      </c>
      <c r="M125" s="340"/>
      <c r="N125" s="340"/>
      <c r="O125" s="340">
        <f t="shared" si="18"/>
        <v>3220</v>
      </c>
      <c r="P125" s="309"/>
      <c r="Q125" s="309"/>
      <c r="R125" s="309"/>
      <c r="S125" s="309"/>
    </row>
    <row r="126" spans="1:19" x14ac:dyDescent="0.25">
      <c r="A126" s="127"/>
      <c r="B126" s="127"/>
      <c r="C126" s="127"/>
      <c r="D126" s="127"/>
      <c r="E126" s="127">
        <v>11</v>
      </c>
      <c r="F126" s="339" t="s">
        <v>641</v>
      </c>
      <c r="G126" s="340">
        <v>1380</v>
      </c>
      <c r="H126" s="340">
        <v>0</v>
      </c>
      <c r="I126" s="340">
        <v>0</v>
      </c>
      <c r="J126" s="340">
        <f t="shared" si="17"/>
        <v>1380</v>
      </c>
      <c r="K126" s="340"/>
      <c r="L126" s="340">
        <v>1380</v>
      </c>
      <c r="M126" s="340"/>
      <c r="N126" s="340"/>
      <c r="O126" s="340">
        <f t="shared" si="18"/>
        <v>1380</v>
      </c>
      <c r="P126" s="309"/>
      <c r="Q126" s="309"/>
      <c r="R126" s="309"/>
      <c r="S126" s="309"/>
    </row>
    <row r="127" spans="1:19" x14ac:dyDescent="0.25">
      <c r="A127" s="127"/>
      <c r="B127" s="127"/>
      <c r="C127" s="127"/>
      <c r="D127" s="127"/>
      <c r="E127" s="127">
        <v>12</v>
      </c>
      <c r="F127" s="339" t="s">
        <v>642</v>
      </c>
      <c r="G127" s="340">
        <v>7923.86</v>
      </c>
      <c r="H127" s="340">
        <v>0</v>
      </c>
      <c r="I127" s="340">
        <v>0</v>
      </c>
      <c r="J127" s="340">
        <f t="shared" si="17"/>
        <v>7923.86</v>
      </c>
      <c r="K127" s="340"/>
      <c r="L127" s="340">
        <v>7923.86</v>
      </c>
      <c r="M127" s="340"/>
      <c r="N127" s="340"/>
      <c r="O127" s="340">
        <f t="shared" si="18"/>
        <v>7923.86</v>
      </c>
      <c r="P127" s="309"/>
      <c r="Q127" s="309"/>
      <c r="R127" s="309"/>
      <c r="S127" s="309"/>
    </row>
    <row r="128" spans="1:19" x14ac:dyDescent="0.25">
      <c r="A128" s="127"/>
      <c r="B128" s="127"/>
      <c r="C128" s="127"/>
      <c r="D128" s="127"/>
      <c r="E128" s="127">
        <v>13</v>
      </c>
      <c r="F128" s="339" t="s">
        <v>643</v>
      </c>
      <c r="G128" s="340">
        <v>4690.8500000000004</v>
      </c>
      <c r="H128" s="340">
        <v>0</v>
      </c>
      <c r="I128" s="340">
        <v>0</v>
      </c>
      <c r="J128" s="340">
        <f t="shared" si="17"/>
        <v>4690.8500000000004</v>
      </c>
      <c r="K128" s="340"/>
      <c r="L128" s="340">
        <v>4690.8500000000004</v>
      </c>
      <c r="M128" s="340"/>
      <c r="N128" s="340"/>
      <c r="O128" s="340">
        <f t="shared" si="18"/>
        <v>4690.8500000000004</v>
      </c>
      <c r="P128" s="309"/>
      <c r="Q128" s="309"/>
      <c r="R128" s="309"/>
      <c r="S128" s="309"/>
    </row>
    <row r="129" spans="1:19" x14ac:dyDescent="0.25">
      <c r="A129" s="127"/>
      <c r="B129" s="127"/>
      <c r="C129" s="127"/>
      <c r="D129" s="127"/>
      <c r="E129" s="127">
        <v>14</v>
      </c>
      <c r="F129" s="339" t="s">
        <v>644</v>
      </c>
      <c r="G129" s="340">
        <v>1469</v>
      </c>
      <c r="H129" s="340">
        <v>0</v>
      </c>
      <c r="I129" s="340">
        <v>0</v>
      </c>
      <c r="J129" s="340">
        <f t="shared" si="17"/>
        <v>1469</v>
      </c>
      <c r="K129" s="340"/>
      <c r="L129" s="340">
        <v>1469</v>
      </c>
      <c r="M129" s="340"/>
      <c r="N129" s="340"/>
      <c r="O129" s="340">
        <f t="shared" si="18"/>
        <v>1469</v>
      </c>
      <c r="P129" s="309"/>
      <c r="Q129" s="309"/>
      <c r="R129" s="309"/>
      <c r="S129" s="309"/>
    </row>
    <row r="130" spans="1:19" x14ac:dyDescent="0.25">
      <c r="A130" s="127"/>
      <c r="B130" s="127"/>
      <c r="C130" s="127"/>
      <c r="D130" s="127"/>
      <c r="E130" s="127">
        <v>15</v>
      </c>
      <c r="F130" s="339" t="s">
        <v>645</v>
      </c>
      <c r="G130" s="340">
        <v>4907.96</v>
      </c>
      <c r="H130" s="340">
        <v>0</v>
      </c>
      <c r="I130" s="340">
        <v>0</v>
      </c>
      <c r="J130" s="340">
        <f t="shared" si="17"/>
        <v>4907.96</v>
      </c>
      <c r="K130" s="340"/>
      <c r="L130" s="340">
        <v>4907.96</v>
      </c>
      <c r="M130" s="340"/>
      <c r="N130" s="340"/>
      <c r="O130" s="340">
        <f t="shared" si="18"/>
        <v>4907.96</v>
      </c>
      <c r="P130" s="309"/>
      <c r="Q130" s="309"/>
      <c r="R130" s="309"/>
      <c r="S130" s="309"/>
    </row>
    <row r="131" spans="1:19" x14ac:dyDescent="0.25">
      <c r="A131" s="127"/>
      <c r="B131" s="127"/>
      <c r="C131" s="127"/>
      <c r="D131" s="127"/>
      <c r="E131" s="127">
        <v>16</v>
      </c>
      <c r="F131" s="339" t="s">
        <v>646</v>
      </c>
      <c r="G131" s="340">
        <v>4338</v>
      </c>
      <c r="H131" s="340">
        <v>0</v>
      </c>
      <c r="I131" s="340">
        <v>0</v>
      </c>
      <c r="J131" s="340">
        <f t="shared" si="17"/>
        <v>4338</v>
      </c>
      <c r="K131" s="340"/>
      <c r="L131" s="340">
        <v>4338</v>
      </c>
      <c r="M131" s="340"/>
      <c r="N131" s="340"/>
      <c r="O131" s="340">
        <f t="shared" si="18"/>
        <v>4338</v>
      </c>
      <c r="P131" s="309"/>
      <c r="Q131" s="309"/>
      <c r="R131" s="309"/>
      <c r="S131" s="309"/>
    </row>
    <row r="132" spans="1:19" x14ac:dyDescent="0.25">
      <c r="A132" s="127"/>
      <c r="B132" s="127"/>
      <c r="C132" s="127"/>
      <c r="D132" s="127"/>
      <c r="E132" s="127">
        <v>17</v>
      </c>
      <c r="F132" s="339" t="s">
        <v>647</v>
      </c>
      <c r="G132" s="340">
        <v>3314.73</v>
      </c>
      <c r="H132" s="340">
        <v>0</v>
      </c>
      <c r="I132" s="340">
        <v>908</v>
      </c>
      <c r="J132" s="340">
        <f t="shared" si="17"/>
        <v>2406.73</v>
      </c>
      <c r="K132" s="340"/>
      <c r="L132" s="340">
        <v>3314.73</v>
      </c>
      <c r="M132" s="340"/>
      <c r="N132" s="340"/>
      <c r="O132" s="340">
        <f t="shared" si="18"/>
        <v>3314.73</v>
      </c>
      <c r="P132" s="309"/>
      <c r="Q132" s="309"/>
      <c r="R132" s="309"/>
      <c r="S132" s="309"/>
    </row>
    <row r="133" spans="1:19" x14ac:dyDescent="0.25">
      <c r="A133" s="127"/>
      <c r="B133" s="127"/>
      <c r="C133" s="127"/>
      <c r="D133" s="127"/>
      <c r="E133" s="127">
        <v>18</v>
      </c>
      <c r="F133" s="339" t="s">
        <v>648</v>
      </c>
      <c r="G133" s="340">
        <v>1274.9100000000001</v>
      </c>
      <c r="H133" s="340">
        <v>0</v>
      </c>
      <c r="I133" s="340">
        <v>0</v>
      </c>
      <c r="J133" s="340">
        <f t="shared" si="17"/>
        <v>1274.9100000000001</v>
      </c>
      <c r="K133" s="340"/>
      <c r="L133" s="340">
        <v>1274.9100000000001</v>
      </c>
      <c r="M133" s="340"/>
      <c r="N133" s="340"/>
      <c r="O133" s="340">
        <f t="shared" si="18"/>
        <v>1274.9100000000001</v>
      </c>
      <c r="P133" s="309"/>
      <c r="Q133" s="309"/>
      <c r="R133" s="309"/>
      <c r="S133" s="309"/>
    </row>
    <row r="134" spans="1:19" x14ac:dyDescent="0.25">
      <c r="A134" s="127"/>
      <c r="B134" s="127"/>
      <c r="C134" s="127"/>
      <c r="D134" s="127"/>
      <c r="E134" s="127">
        <v>19</v>
      </c>
      <c r="F134" s="339" t="s">
        <v>649</v>
      </c>
      <c r="G134" s="340">
        <v>2699</v>
      </c>
      <c r="H134" s="340">
        <v>0</v>
      </c>
      <c r="I134" s="340">
        <v>0</v>
      </c>
      <c r="J134" s="340">
        <f t="shared" si="17"/>
        <v>2699</v>
      </c>
      <c r="K134" s="340"/>
      <c r="L134" s="340">
        <v>2699</v>
      </c>
      <c r="M134" s="340"/>
      <c r="N134" s="340"/>
      <c r="O134" s="340">
        <f t="shared" si="18"/>
        <v>2699</v>
      </c>
      <c r="P134" s="309"/>
      <c r="Q134" s="309"/>
      <c r="R134" s="309"/>
      <c r="S134" s="309"/>
    </row>
    <row r="135" spans="1:19" x14ac:dyDescent="0.25">
      <c r="A135" s="127"/>
      <c r="B135" s="127"/>
      <c r="C135" s="127"/>
      <c r="D135" s="127"/>
      <c r="E135" s="127">
        <v>20</v>
      </c>
      <c r="F135" s="339" t="s">
        <v>708</v>
      </c>
      <c r="G135" s="340">
        <v>9920</v>
      </c>
      <c r="H135" s="340">
        <v>0</v>
      </c>
      <c r="I135" s="340">
        <v>0</v>
      </c>
      <c r="J135" s="340">
        <f t="shared" si="17"/>
        <v>9920</v>
      </c>
      <c r="K135" s="340"/>
      <c r="L135" s="340">
        <v>9920</v>
      </c>
      <c r="M135" s="340"/>
      <c r="N135" s="340"/>
      <c r="O135" s="340">
        <f t="shared" si="18"/>
        <v>9920</v>
      </c>
      <c r="P135" s="309"/>
      <c r="Q135" s="309"/>
      <c r="R135" s="309"/>
      <c r="S135" s="309"/>
    </row>
    <row r="136" spans="1:19" x14ac:dyDescent="0.25">
      <c r="A136" s="338">
        <v>1</v>
      </c>
      <c r="B136" s="338">
        <v>2</v>
      </c>
      <c r="C136" s="127">
        <v>4</v>
      </c>
      <c r="D136" s="127">
        <v>2</v>
      </c>
      <c r="E136" s="127"/>
      <c r="F136" s="127" t="s">
        <v>295</v>
      </c>
      <c r="G136" s="156">
        <f>SUM(G137:G141)</f>
        <v>849685.39</v>
      </c>
      <c r="H136" s="465"/>
      <c r="I136" s="465"/>
      <c r="J136" s="156">
        <f>SUM(J137:J141)</f>
        <v>849685.39</v>
      </c>
      <c r="K136" s="159"/>
      <c r="L136" s="156">
        <f>SUM(L137:L141)</f>
        <v>849685.39</v>
      </c>
      <c r="M136" s="159"/>
      <c r="N136" s="159"/>
      <c r="O136" s="156">
        <f>SUM(O137:O141)</f>
        <v>849685.39</v>
      </c>
      <c r="P136" s="309"/>
      <c r="Q136" s="309"/>
      <c r="R136" s="309"/>
      <c r="S136" s="309"/>
    </row>
    <row r="137" spans="1:19" x14ac:dyDescent="0.25">
      <c r="A137" s="309"/>
      <c r="B137" s="309"/>
      <c r="C137" s="127"/>
      <c r="D137" s="127"/>
      <c r="E137" s="127">
        <v>1</v>
      </c>
      <c r="F137" s="339" t="s">
        <v>650</v>
      </c>
      <c r="G137" s="340">
        <f>752484.09+1</f>
        <v>752485.09</v>
      </c>
      <c r="H137" s="340">
        <v>0</v>
      </c>
      <c r="I137" s="340">
        <v>0</v>
      </c>
      <c r="J137" s="340">
        <f t="shared" si="17"/>
        <v>752485.09</v>
      </c>
      <c r="K137" s="340"/>
      <c r="L137" s="340">
        <f>752484.09+1</f>
        <v>752485.09</v>
      </c>
      <c r="M137" s="340"/>
      <c r="N137" s="340"/>
      <c r="O137" s="340">
        <f t="shared" si="18"/>
        <v>752485.09</v>
      </c>
      <c r="P137" s="309"/>
      <c r="Q137" s="309"/>
      <c r="R137" s="309"/>
      <c r="S137" s="309"/>
    </row>
    <row r="138" spans="1:19" x14ac:dyDescent="0.25">
      <c r="A138" s="309"/>
      <c r="B138" s="309"/>
      <c r="C138" s="127"/>
      <c r="D138" s="127"/>
      <c r="E138" s="127">
        <v>2</v>
      </c>
      <c r="F138" s="339" t="s">
        <v>651</v>
      </c>
      <c r="G138" s="340">
        <v>4800</v>
      </c>
      <c r="H138" s="340">
        <v>0</v>
      </c>
      <c r="I138" s="340">
        <v>0</v>
      </c>
      <c r="J138" s="340">
        <f t="shared" si="17"/>
        <v>4800</v>
      </c>
      <c r="K138" s="340"/>
      <c r="L138" s="340">
        <v>4800</v>
      </c>
      <c r="M138" s="340"/>
      <c r="N138" s="340"/>
      <c r="O138" s="340">
        <f t="shared" si="18"/>
        <v>4800</v>
      </c>
      <c r="P138" s="309"/>
      <c r="Q138" s="309"/>
      <c r="R138" s="309"/>
      <c r="S138" s="309"/>
    </row>
    <row r="139" spans="1:19" x14ac:dyDescent="0.25">
      <c r="A139" s="309"/>
      <c r="B139" s="309"/>
      <c r="C139" s="127"/>
      <c r="D139" s="127"/>
      <c r="E139" s="127">
        <v>3</v>
      </c>
      <c r="F139" s="339" t="s">
        <v>652</v>
      </c>
      <c r="G139" s="340">
        <v>506</v>
      </c>
      <c r="H139" s="340">
        <v>0</v>
      </c>
      <c r="I139" s="340">
        <v>0</v>
      </c>
      <c r="J139" s="340">
        <f t="shared" si="17"/>
        <v>506</v>
      </c>
      <c r="K139" s="340"/>
      <c r="L139" s="340">
        <v>506</v>
      </c>
      <c r="M139" s="340"/>
      <c r="N139" s="340"/>
      <c r="O139" s="340">
        <f t="shared" si="18"/>
        <v>506</v>
      </c>
      <c r="P139" s="309"/>
      <c r="Q139" s="309"/>
      <c r="R139" s="309"/>
      <c r="S139" s="309"/>
    </row>
    <row r="140" spans="1:19" x14ac:dyDescent="0.25">
      <c r="A140" s="309"/>
      <c r="B140" s="309"/>
      <c r="C140" s="127"/>
      <c r="D140" s="127"/>
      <c r="E140" s="127">
        <v>4</v>
      </c>
      <c r="F140" s="339" t="s">
        <v>653</v>
      </c>
      <c r="G140" s="340">
        <v>10667.5</v>
      </c>
      <c r="H140" s="340">
        <v>0</v>
      </c>
      <c r="I140" s="340">
        <v>0</v>
      </c>
      <c r="J140" s="340">
        <f t="shared" si="17"/>
        <v>10667.5</v>
      </c>
      <c r="K140" s="340"/>
      <c r="L140" s="340">
        <v>10667.5</v>
      </c>
      <c r="M140" s="340"/>
      <c r="N140" s="340"/>
      <c r="O140" s="340">
        <f t="shared" si="18"/>
        <v>10667.5</v>
      </c>
      <c r="P140" s="309"/>
      <c r="Q140" s="309"/>
      <c r="R140" s="309"/>
      <c r="S140" s="309"/>
    </row>
    <row r="141" spans="1:19" x14ac:dyDescent="0.25">
      <c r="A141" s="309"/>
      <c r="B141" s="309"/>
      <c r="C141" s="127"/>
      <c r="D141" s="127"/>
      <c r="E141" s="127">
        <v>5</v>
      </c>
      <c r="F141" s="339" t="s">
        <v>654</v>
      </c>
      <c r="G141" s="340">
        <v>81226.8</v>
      </c>
      <c r="H141" s="340">
        <v>0</v>
      </c>
      <c r="I141" s="340">
        <v>0</v>
      </c>
      <c r="J141" s="340">
        <f t="shared" si="17"/>
        <v>81226.8</v>
      </c>
      <c r="K141" s="340"/>
      <c r="L141" s="340">
        <v>81226.8</v>
      </c>
      <c r="M141" s="340"/>
      <c r="N141" s="340"/>
      <c r="O141" s="340">
        <f t="shared" si="18"/>
        <v>81226.8</v>
      </c>
      <c r="P141" s="309"/>
      <c r="Q141" s="309"/>
      <c r="R141" s="309"/>
      <c r="S141" s="309"/>
    </row>
    <row r="142" spans="1:19" x14ac:dyDescent="0.25">
      <c r="A142" s="338">
        <v>1</v>
      </c>
      <c r="B142" s="338">
        <v>2</v>
      </c>
      <c r="C142" s="127">
        <v>4</v>
      </c>
      <c r="D142" s="127">
        <v>3</v>
      </c>
      <c r="E142" s="127"/>
      <c r="F142" s="127" t="s">
        <v>296</v>
      </c>
      <c r="G142" s="127"/>
      <c r="H142" s="127"/>
      <c r="I142" s="127"/>
      <c r="J142" s="127"/>
      <c r="K142" s="127"/>
      <c r="L142" s="127"/>
      <c r="M142" s="127"/>
      <c r="N142" s="127"/>
      <c r="O142" s="127"/>
      <c r="P142" s="309"/>
      <c r="Q142" s="309"/>
      <c r="R142" s="309"/>
      <c r="S142" s="309"/>
    </row>
    <row r="143" spans="1:19" x14ac:dyDescent="0.25">
      <c r="A143" s="338">
        <v>1</v>
      </c>
      <c r="B143" s="338">
        <v>2</v>
      </c>
      <c r="C143" s="127">
        <v>4</v>
      </c>
      <c r="D143" s="127">
        <v>4</v>
      </c>
      <c r="E143" s="127"/>
      <c r="F143" s="127" t="s">
        <v>297</v>
      </c>
      <c r="G143" s="156">
        <f t="shared" ref="G143:I143" si="19">SUM(G144:G150)</f>
        <v>613500</v>
      </c>
      <c r="H143" s="156">
        <f t="shared" si="19"/>
        <v>0</v>
      </c>
      <c r="I143" s="156">
        <f t="shared" si="19"/>
        <v>0</v>
      </c>
      <c r="J143" s="156">
        <f>SUM(J144:J150)</f>
        <v>613500</v>
      </c>
      <c r="K143" s="156"/>
      <c r="L143" s="156">
        <f t="shared" ref="L143" si="20">SUM(L144:L150)</f>
        <v>613500</v>
      </c>
      <c r="M143" s="156"/>
      <c r="N143" s="156"/>
      <c r="O143" s="156">
        <f>SUM(O144:O149)</f>
        <v>473800</v>
      </c>
      <c r="P143" s="309"/>
      <c r="Q143" s="309"/>
      <c r="R143" s="309"/>
      <c r="S143" s="309"/>
    </row>
    <row r="144" spans="1:19" x14ac:dyDescent="0.25">
      <c r="A144" s="309"/>
      <c r="B144" s="309"/>
      <c r="C144" s="127"/>
      <c r="D144" s="127"/>
      <c r="E144" s="127"/>
      <c r="F144" s="339" t="s">
        <v>655</v>
      </c>
      <c r="G144" s="340">
        <v>0</v>
      </c>
      <c r="H144" s="340">
        <v>0</v>
      </c>
      <c r="I144" s="340">
        <v>0</v>
      </c>
      <c r="J144" s="340">
        <f t="shared" ref="J144:J150" si="21">+G144+H144-I144</f>
        <v>0</v>
      </c>
      <c r="K144" s="340"/>
      <c r="L144" s="340">
        <v>0</v>
      </c>
      <c r="M144" s="340"/>
      <c r="N144" s="340"/>
      <c r="O144" s="340">
        <f t="shared" ref="O144:O150" si="22">+L144+M144-N144</f>
        <v>0</v>
      </c>
      <c r="P144" s="309"/>
      <c r="Q144" s="309"/>
      <c r="R144" s="309"/>
      <c r="S144" s="309"/>
    </row>
    <row r="145" spans="1:19" x14ac:dyDescent="0.25">
      <c r="A145" s="309"/>
      <c r="B145" s="309"/>
      <c r="C145" s="127"/>
      <c r="D145" s="127"/>
      <c r="E145" s="127"/>
      <c r="F145" s="339" t="s">
        <v>656</v>
      </c>
      <c r="G145" s="340">
        <v>169900</v>
      </c>
      <c r="H145" s="340">
        <v>0</v>
      </c>
      <c r="I145" s="340">
        <v>0</v>
      </c>
      <c r="J145" s="340">
        <f t="shared" si="21"/>
        <v>169900</v>
      </c>
      <c r="K145" s="340"/>
      <c r="L145" s="340">
        <v>169900</v>
      </c>
      <c r="M145" s="340"/>
      <c r="N145" s="340"/>
      <c r="O145" s="340">
        <f t="shared" si="22"/>
        <v>169900</v>
      </c>
      <c r="P145" s="309"/>
      <c r="Q145" s="309"/>
      <c r="R145" s="309"/>
      <c r="S145" s="309"/>
    </row>
    <row r="146" spans="1:19" x14ac:dyDescent="0.25">
      <c r="A146" s="309"/>
      <c r="B146" s="309"/>
      <c r="C146" s="127"/>
      <c r="D146" s="127"/>
      <c r="E146" s="127"/>
      <c r="F146" s="339" t="s">
        <v>657</v>
      </c>
      <c r="G146" s="340">
        <v>0</v>
      </c>
      <c r="H146" s="340">
        <v>0</v>
      </c>
      <c r="I146" s="340">
        <v>0</v>
      </c>
      <c r="J146" s="340">
        <f t="shared" si="21"/>
        <v>0</v>
      </c>
      <c r="K146" s="340"/>
      <c r="L146" s="340">
        <v>0</v>
      </c>
      <c r="M146" s="340"/>
      <c r="N146" s="340"/>
      <c r="O146" s="340">
        <f t="shared" si="22"/>
        <v>0</v>
      </c>
      <c r="P146" s="309"/>
      <c r="Q146" s="309"/>
      <c r="R146" s="309"/>
      <c r="S146" s="309"/>
    </row>
    <row r="147" spans="1:19" x14ac:dyDescent="0.25">
      <c r="A147" s="309"/>
      <c r="B147" s="309"/>
      <c r="C147" s="127"/>
      <c r="D147" s="127"/>
      <c r="E147" s="127"/>
      <c r="F147" s="339" t="s">
        <v>658</v>
      </c>
      <c r="G147" s="340">
        <v>0</v>
      </c>
      <c r="H147" s="340">
        <v>0</v>
      </c>
      <c r="I147" s="340">
        <v>0</v>
      </c>
      <c r="J147" s="340">
        <f t="shared" si="21"/>
        <v>0</v>
      </c>
      <c r="K147" s="340"/>
      <c r="L147" s="340">
        <v>0</v>
      </c>
      <c r="M147" s="340"/>
      <c r="N147" s="340"/>
      <c r="O147" s="340">
        <f t="shared" si="22"/>
        <v>0</v>
      </c>
      <c r="P147" s="309"/>
      <c r="Q147" s="309"/>
      <c r="R147" s="309"/>
      <c r="S147" s="309"/>
    </row>
    <row r="148" spans="1:19" x14ac:dyDescent="0.25">
      <c r="A148" s="309"/>
      <c r="B148" s="309"/>
      <c r="C148" s="127"/>
      <c r="D148" s="127"/>
      <c r="E148" s="127"/>
      <c r="F148" s="339" t="s">
        <v>659</v>
      </c>
      <c r="G148" s="340">
        <v>0</v>
      </c>
      <c r="H148" s="340">
        <v>0</v>
      </c>
      <c r="I148" s="340">
        <v>0</v>
      </c>
      <c r="J148" s="340">
        <f t="shared" si="21"/>
        <v>0</v>
      </c>
      <c r="K148" s="340"/>
      <c r="L148" s="340">
        <v>0</v>
      </c>
      <c r="M148" s="340"/>
      <c r="N148" s="340"/>
      <c r="O148" s="340">
        <f t="shared" si="22"/>
        <v>0</v>
      </c>
      <c r="P148" s="309"/>
      <c r="Q148" s="309"/>
      <c r="R148" s="309"/>
      <c r="S148" s="309"/>
    </row>
    <row r="149" spans="1:19" x14ac:dyDescent="0.25">
      <c r="A149" s="309"/>
      <c r="B149" s="309"/>
      <c r="C149" s="127"/>
      <c r="D149" s="127"/>
      <c r="E149" s="127"/>
      <c r="F149" s="339" t="s">
        <v>660</v>
      </c>
      <c r="G149" s="340">
        <v>303900</v>
      </c>
      <c r="H149" s="340">
        <v>0</v>
      </c>
      <c r="I149" s="340">
        <v>0</v>
      </c>
      <c r="J149" s="340">
        <f t="shared" si="21"/>
        <v>303900</v>
      </c>
      <c r="K149" s="340"/>
      <c r="L149" s="340">
        <v>303900</v>
      </c>
      <c r="M149" s="340"/>
      <c r="N149" s="340"/>
      <c r="O149" s="340">
        <f t="shared" si="22"/>
        <v>303900</v>
      </c>
      <c r="P149" s="309"/>
      <c r="Q149" s="309"/>
      <c r="R149" s="309"/>
      <c r="S149" s="309"/>
    </row>
    <row r="150" spans="1:19" x14ac:dyDescent="0.25">
      <c r="A150" s="309"/>
      <c r="B150" s="309"/>
      <c r="C150" s="127"/>
      <c r="D150" s="127"/>
      <c r="E150" s="127"/>
      <c r="F150" s="339" t="s">
        <v>742</v>
      </c>
      <c r="G150" s="340">
        <v>139700</v>
      </c>
      <c r="H150" s="340">
        <v>0</v>
      </c>
      <c r="I150" s="340">
        <v>0</v>
      </c>
      <c r="J150" s="340">
        <f t="shared" si="21"/>
        <v>139700</v>
      </c>
      <c r="K150" s="340"/>
      <c r="L150" s="340">
        <v>139700</v>
      </c>
      <c r="M150" s="340"/>
      <c r="N150" s="340"/>
      <c r="O150" s="340">
        <f t="shared" si="22"/>
        <v>139700</v>
      </c>
      <c r="P150" s="309"/>
      <c r="Q150" s="309"/>
      <c r="R150" s="309"/>
      <c r="S150" s="309"/>
    </row>
    <row r="151" spans="1:19" x14ac:dyDescent="0.25">
      <c r="A151" s="338">
        <v>1</v>
      </c>
      <c r="B151" s="338">
        <v>2</v>
      </c>
      <c r="C151" s="127">
        <v>4</v>
      </c>
      <c r="D151" s="127">
        <v>5</v>
      </c>
      <c r="E151" s="127"/>
      <c r="F151" s="127" t="s">
        <v>298</v>
      </c>
      <c r="G151" s="127"/>
      <c r="H151" s="127"/>
      <c r="I151" s="127"/>
      <c r="J151" s="127"/>
      <c r="K151" s="127"/>
      <c r="L151" s="127"/>
      <c r="M151" s="127"/>
      <c r="N151" s="127"/>
      <c r="O151" s="127"/>
      <c r="P151" s="309"/>
      <c r="Q151" s="309"/>
      <c r="R151" s="309"/>
      <c r="S151" s="309"/>
    </row>
    <row r="152" spans="1:19" x14ac:dyDescent="0.25">
      <c r="A152" s="338">
        <v>1</v>
      </c>
      <c r="B152" s="338">
        <v>2</v>
      </c>
      <c r="C152" s="127">
        <v>4</v>
      </c>
      <c r="D152" s="127">
        <v>6</v>
      </c>
      <c r="E152" s="127"/>
      <c r="F152" s="127" t="s">
        <v>299</v>
      </c>
      <c r="G152" s="156">
        <f t="shared" ref="G152:I152" si="23">SUM(G153:G208)</f>
        <v>733340.71000000008</v>
      </c>
      <c r="H152" s="156">
        <f t="shared" si="23"/>
        <v>0</v>
      </c>
      <c r="I152" s="156">
        <f t="shared" si="23"/>
        <v>143563.5</v>
      </c>
      <c r="J152" s="156">
        <f>SUM(J153:J208)</f>
        <v>589777.21000000008</v>
      </c>
      <c r="K152" s="156"/>
      <c r="L152" s="156">
        <f t="shared" ref="L152" si="24">SUM(L153:L208)</f>
        <v>733340.71000000008</v>
      </c>
      <c r="M152" s="156"/>
      <c r="N152" s="156"/>
      <c r="O152" s="156">
        <f>SUM(O153:O208)</f>
        <v>733340.71000000008</v>
      </c>
      <c r="P152" s="309"/>
      <c r="Q152" s="309"/>
      <c r="R152" s="309"/>
      <c r="S152" s="309"/>
    </row>
    <row r="153" spans="1:19" x14ac:dyDescent="0.25">
      <c r="A153" s="309"/>
      <c r="B153" s="309"/>
      <c r="C153" s="127"/>
      <c r="D153" s="127"/>
      <c r="E153" s="127">
        <v>1</v>
      </c>
      <c r="F153" s="339" t="s">
        <v>661</v>
      </c>
      <c r="G153" s="340">
        <v>12834.77</v>
      </c>
      <c r="H153" s="340">
        <v>0</v>
      </c>
      <c r="I153" s="340">
        <v>0</v>
      </c>
      <c r="J153" s="340">
        <f t="shared" ref="J153:J208" si="25">+G153+H153-I153</f>
        <v>12834.77</v>
      </c>
      <c r="K153" s="340"/>
      <c r="L153" s="340">
        <v>12834.77</v>
      </c>
      <c r="M153" s="340"/>
      <c r="N153" s="340"/>
      <c r="O153" s="340">
        <f t="shared" ref="O153:O208" si="26">+L153+M153-N153</f>
        <v>12834.77</v>
      </c>
      <c r="P153" s="309"/>
      <c r="Q153" s="309"/>
      <c r="R153" s="309"/>
      <c r="S153" s="309"/>
    </row>
    <row r="154" spans="1:19" x14ac:dyDescent="0.25">
      <c r="A154" s="309"/>
      <c r="B154" s="309"/>
      <c r="C154" s="127"/>
      <c r="D154" s="127"/>
      <c r="E154" s="127">
        <v>2</v>
      </c>
      <c r="F154" s="339" t="s">
        <v>662</v>
      </c>
      <c r="G154" s="340">
        <v>22712.5</v>
      </c>
      <c r="H154" s="340">
        <v>0</v>
      </c>
      <c r="I154" s="340">
        <v>22712.5</v>
      </c>
      <c r="J154" s="340">
        <f t="shared" si="25"/>
        <v>0</v>
      </c>
      <c r="K154" s="340"/>
      <c r="L154" s="340">
        <v>22712.5</v>
      </c>
      <c r="M154" s="340"/>
      <c r="N154" s="340"/>
      <c r="O154" s="340">
        <f t="shared" si="26"/>
        <v>22712.5</v>
      </c>
      <c r="P154" s="309"/>
      <c r="Q154" s="309"/>
      <c r="R154" s="309"/>
      <c r="S154" s="309"/>
    </row>
    <row r="155" spans="1:19" x14ac:dyDescent="0.25">
      <c r="A155" s="309"/>
      <c r="B155" s="309"/>
      <c r="C155" s="127"/>
      <c r="D155" s="127"/>
      <c r="E155" s="127">
        <v>3</v>
      </c>
      <c r="F155" s="339" t="s">
        <v>663</v>
      </c>
      <c r="G155" s="340">
        <v>69147.199999999997</v>
      </c>
      <c r="H155" s="340">
        <v>0</v>
      </c>
      <c r="I155" s="340">
        <v>0</v>
      </c>
      <c r="J155" s="340">
        <f t="shared" si="25"/>
        <v>69147.199999999997</v>
      </c>
      <c r="K155" s="340"/>
      <c r="L155" s="340">
        <v>69147.199999999997</v>
      </c>
      <c r="M155" s="340"/>
      <c r="N155" s="340"/>
      <c r="O155" s="340">
        <f t="shared" si="26"/>
        <v>69147.199999999997</v>
      </c>
      <c r="P155" s="309"/>
      <c r="Q155" s="309"/>
      <c r="R155" s="309"/>
      <c r="S155" s="309"/>
    </row>
    <row r="156" spans="1:19" x14ac:dyDescent="0.25">
      <c r="A156" s="309"/>
      <c r="B156" s="309"/>
      <c r="C156" s="127"/>
      <c r="D156" s="127"/>
      <c r="E156" s="127">
        <v>4</v>
      </c>
      <c r="F156" s="339" t="s">
        <v>664</v>
      </c>
      <c r="G156" s="340">
        <v>2547.25</v>
      </c>
      <c r="H156" s="340">
        <v>0</v>
      </c>
      <c r="I156" s="340">
        <v>2547</v>
      </c>
      <c r="J156" s="340">
        <f t="shared" si="25"/>
        <v>0.25</v>
      </c>
      <c r="K156" s="340"/>
      <c r="L156" s="340">
        <v>2547.25</v>
      </c>
      <c r="M156" s="340"/>
      <c r="N156" s="340"/>
      <c r="O156" s="340">
        <f t="shared" si="26"/>
        <v>2547.25</v>
      </c>
      <c r="P156" s="309"/>
      <c r="Q156" s="309"/>
      <c r="R156" s="309"/>
      <c r="S156" s="309"/>
    </row>
    <row r="157" spans="1:19" x14ac:dyDescent="0.25">
      <c r="A157" s="309"/>
      <c r="B157" s="309"/>
      <c r="C157" s="127"/>
      <c r="D157" s="127"/>
      <c r="E157" s="127">
        <v>5</v>
      </c>
      <c r="F157" s="339" t="s">
        <v>665</v>
      </c>
      <c r="G157" s="340">
        <v>46977.5</v>
      </c>
      <c r="H157" s="340">
        <v>0</v>
      </c>
      <c r="I157" s="340">
        <v>18688</v>
      </c>
      <c r="J157" s="340">
        <f t="shared" si="25"/>
        <v>28289.5</v>
      </c>
      <c r="K157" s="340"/>
      <c r="L157" s="340">
        <v>46977.5</v>
      </c>
      <c r="M157" s="340"/>
      <c r="N157" s="340"/>
      <c r="O157" s="340">
        <f t="shared" si="26"/>
        <v>46977.5</v>
      </c>
      <c r="P157" s="309"/>
      <c r="Q157" s="309"/>
      <c r="R157" s="309"/>
      <c r="S157" s="309"/>
    </row>
    <row r="158" spans="1:19" x14ac:dyDescent="0.25">
      <c r="A158" s="309"/>
      <c r="B158" s="309"/>
      <c r="C158" s="127"/>
      <c r="D158" s="127"/>
      <c r="E158" s="127">
        <v>6</v>
      </c>
      <c r="F158" s="339" t="s">
        <v>666</v>
      </c>
      <c r="G158" s="340">
        <v>21620</v>
      </c>
      <c r="H158" s="340">
        <v>0</v>
      </c>
      <c r="I158" s="340">
        <v>0</v>
      </c>
      <c r="J158" s="340">
        <f t="shared" si="25"/>
        <v>21620</v>
      </c>
      <c r="K158" s="340"/>
      <c r="L158" s="340">
        <v>21620</v>
      </c>
      <c r="M158" s="340"/>
      <c r="N158" s="340"/>
      <c r="O158" s="340">
        <f t="shared" si="26"/>
        <v>21620</v>
      </c>
      <c r="P158" s="309"/>
      <c r="Q158" s="309"/>
      <c r="R158" s="309"/>
      <c r="S158" s="309"/>
    </row>
    <row r="159" spans="1:19" x14ac:dyDescent="0.25">
      <c r="A159" s="309"/>
      <c r="B159" s="309"/>
      <c r="C159" s="127"/>
      <c r="D159" s="127"/>
      <c r="E159" s="127">
        <v>7</v>
      </c>
      <c r="F159" s="339" t="s">
        <v>667</v>
      </c>
      <c r="G159" s="340">
        <v>690</v>
      </c>
      <c r="H159" s="340">
        <v>0</v>
      </c>
      <c r="I159" s="340">
        <v>0</v>
      </c>
      <c r="J159" s="340">
        <f t="shared" si="25"/>
        <v>690</v>
      </c>
      <c r="K159" s="340"/>
      <c r="L159" s="340">
        <v>690</v>
      </c>
      <c r="M159" s="340"/>
      <c r="N159" s="340"/>
      <c r="O159" s="340">
        <f t="shared" si="26"/>
        <v>690</v>
      </c>
      <c r="P159" s="309"/>
      <c r="Q159" s="309"/>
      <c r="R159" s="309"/>
      <c r="S159" s="309"/>
    </row>
    <row r="160" spans="1:19" x14ac:dyDescent="0.25">
      <c r="A160" s="309"/>
      <c r="B160" s="309"/>
      <c r="C160" s="127"/>
      <c r="D160" s="127"/>
      <c r="E160" s="127">
        <v>8</v>
      </c>
      <c r="F160" s="339" t="s">
        <v>668</v>
      </c>
      <c r="G160" s="340">
        <v>1150</v>
      </c>
      <c r="H160" s="340">
        <v>0</v>
      </c>
      <c r="I160" s="340">
        <v>0</v>
      </c>
      <c r="J160" s="340">
        <f t="shared" si="25"/>
        <v>1150</v>
      </c>
      <c r="K160" s="340"/>
      <c r="L160" s="340">
        <v>1150</v>
      </c>
      <c r="M160" s="340"/>
      <c r="N160" s="340"/>
      <c r="O160" s="340">
        <f t="shared" si="26"/>
        <v>1150</v>
      </c>
      <c r="P160" s="309"/>
      <c r="Q160" s="309"/>
      <c r="R160" s="309"/>
      <c r="S160" s="309"/>
    </row>
    <row r="161" spans="1:19" x14ac:dyDescent="0.25">
      <c r="A161" s="309"/>
      <c r="B161" s="309"/>
      <c r="C161" s="127"/>
      <c r="D161" s="127"/>
      <c r="E161" s="127">
        <v>9</v>
      </c>
      <c r="F161" s="339" t="s">
        <v>669</v>
      </c>
      <c r="G161" s="340">
        <v>120367.62</v>
      </c>
      <c r="H161" s="340">
        <v>0</v>
      </c>
      <c r="I161" s="340">
        <v>0</v>
      </c>
      <c r="J161" s="340">
        <f t="shared" si="25"/>
        <v>120367.62</v>
      </c>
      <c r="K161" s="340"/>
      <c r="L161" s="340">
        <v>120367.62</v>
      </c>
      <c r="M161" s="340"/>
      <c r="N161" s="340"/>
      <c r="O161" s="340">
        <f t="shared" si="26"/>
        <v>120367.62</v>
      </c>
      <c r="P161" s="309"/>
      <c r="Q161" s="309"/>
      <c r="R161" s="309"/>
      <c r="S161" s="309"/>
    </row>
    <row r="162" spans="1:19" x14ac:dyDescent="0.25">
      <c r="A162" s="309"/>
      <c r="B162" s="309"/>
      <c r="C162" s="127"/>
      <c r="D162" s="127"/>
      <c r="E162" s="127">
        <v>10</v>
      </c>
      <c r="F162" s="339" t="s">
        <v>670</v>
      </c>
      <c r="G162" s="340">
        <v>1299.01</v>
      </c>
      <c r="H162" s="340">
        <v>0</v>
      </c>
      <c r="I162" s="340">
        <v>0</v>
      </c>
      <c r="J162" s="340">
        <f t="shared" si="25"/>
        <v>1299.01</v>
      </c>
      <c r="K162" s="340"/>
      <c r="L162" s="340">
        <v>1299.01</v>
      </c>
      <c r="M162" s="340"/>
      <c r="N162" s="340"/>
      <c r="O162" s="340">
        <f t="shared" si="26"/>
        <v>1299.01</v>
      </c>
      <c r="P162" s="309"/>
      <c r="Q162" s="309"/>
      <c r="R162" s="309"/>
      <c r="S162" s="309"/>
    </row>
    <row r="163" spans="1:19" x14ac:dyDescent="0.25">
      <c r="A163" s="309"/>
      <c r="B163" s="309"/>
      <c r="C163" s="127"/>
      <c r="D163" s="127"/>
      <c r="E163" s="127">
        <v>11</v>
      </c>
      <c r="F163" s="339" t="s">
        <v>671</v>
      </c>
      <c r="G163" s="340">
        <v>1849</v>
      </c>
      <c r="H163" s="340">
        <v>0</v>
      </c>
      <c r="I163" s="340">
        <v>0</v>
      </c>
      <c r="J163" s="340">
        <f t="shared" si="25"/>
        <v>1849</v>
      </c>
      <c r="K163" s="340"/>
      <c r="L163" s="340">
        <v>1849</v>
      </c>
      <c r="M163" s="340"/>
      <c r="N163" s="340"/>
      <c r="O163" s="340">
        <f t="shared" si="26"/>
        <v>1849</v>
      </c>
      <c r="P163" s="309"/>
      <c r="Q163" s="309"/>
      <c r="R163" s="309"/>
      <c r="S163" s="309"/>
    </row>
    <row r="164" spans="1:19" x14ac:dyDescent="0.25">
      <c r="A164" s="309"/>
      <c r="B164" s="309"/>
      <c r="C164" s="127"/>
      <c r="D164" s="127"/>
      <c r="E164" s="127">
        <v>12</v>
      </c>
      <c r="F164" s="339" t="s">
        <v>672</v>
      </c>
      <c r="G164" s="340">
        <v>16499</v>
      </c>
      <c r="H164" s="340">
        <v>0</v>
      </c>
      <c r="I164" s="340">
        <v>0</v>
      </c>
      <c r="J164" s="340">
        <f t="shared" si="25"/>
        <v>16499</v>
      </c>
      <c r="K164" s="340"/>
      <c r="L164" s="340">
        <v>16499</v>
      </c>
      <c r="M164" s="340"/>
      <c r="N164" s="340"/>
      <c r="O164" s="340">
        <f t="shared" si="26"/>
        <v>16499</v>
      </c>
      <c r="P164" s="309"/>
      <c r="Q164" s="309"/>
      <c r="R164" s="309"/>
      <c r="S164" s="309"/>
    </row>
    <row r="165" spans="1:19" x14ac:dyDescent="0.25">
      <c r="A165" s="309"/>
      <c r="B165" s="309"/>
      <c r="C165" s="127"/>
      <c r="D165" s="127"/>
      <c r="E165" s="127">
        <v>13</v>
      </c>
      <c r="F165" s="339" t="s">
        <v>673</v>
      </c>
      <c r="G165" s="340">
        <v>6250</v>
      </c>
      <c r="H165" s="340">
        <v>0</v>
      </c>
      <c r="I165" s="340">
        <v>6250</v>
      </c>
      <c r="J165" s="340">
        <f t="shared" si="25"/>
        <v>0</v>
      </c>
      <c r="K165" s="340"/>
      <c r="L165" s="340">
        <v>6250</v>
      </c>
      <c r="M165" s="340"/>
      <c r="N165" s="340"/>
      <c r="O165" s="340">
        <f t="shared" si="26"/>
        <v>6250</v>
      </c>
      <c r="P165" s="309"/>
      <c r="Q165" s="309"/>
      <c r="R165" s="309"/>
      <c r="S165" s="309"/>
    </row>
    <row r="166" spans="1:19" x14ac:dyDescent="0.25">
      <c r="A166" s="309"/>
      <c r="B166" s="309"/>
      <c r="C166" s="127"/>
      <c r="D166" s="127"/>
      <c r="E166" s="127">
        <v>14</v>
      </c>
      <c r="F166" s="339" t="s">
        <v>673</v>
      </c>
      <c r="G166" s="340">
        <v>6250</v>
      </c>
      <c r="H166" s="340">
        <v>0</v>
      </c>
      <c r="I166" s="340">
        <v>0</v>
      </c>
      <c r="J166" s="340">
        <f t="shared" si="25"/>
        <v>6250</v>
      </c>
      <c r="K166" s="340"/>
      <c r="L166" s="340">
        <v>6250</v>
      </c>
      <c r="M166" s="340"/>
      <c r="N166" s="340"/>
      <c r="O166" s="340">
        <f t="shared" si="26"/>
        <v>6250</v>
      </c>
      <c r="P166" s="309"/>
      <c r="Q166" s="309"/>
      <c r="R166" s="309"/>
      <c r="S166" s="309"/>
    </row>
    <row r="167" spans="1:19" x14ac:dyDescent="0.25">
      <c r="A167" s="309"/>
      <c r="B167" s="309"/>
      <c r="C167" s="127"/>
      <c r="D167" s="127"/>
      <c r="E167" s="127">
        <v>15</v>
      </c>
      <c r="F167" s="339" t="s">
        <v>673</v>
      </c>
      <c r="G167" s="340">
        <v>6250</v>
      </c>
      <c r="H167" s="340">
        <v>0</v>
      </c>
      <c r="I167" s="340">
        <v>0</v>
      </c>
      <c r="J167" s="340">
        <f t="shared" si="25"/>
        <v>6250</v>
      </c>
      <c r="K167" s="340"/>
      <c r="L167" s="340">
        <v>6250</v>
      </c>
      <c r="M167" s="340"/>
      <c r="N167" s="340"/>
      <c r="O167" s="340">
        <f t="shared" si="26"/>
        <v>6250</v>
      </c>
      <c r="P167" s="309"/>
      <c r="Q167" s="309"/>
      <c r="R167" s="309"/>
      <c r="S167" s="309"/>
    </row>
    <row r="168" spans="1:19" x14ac:dyDescent="0.25">
      <c r="A168" s="309"/>
      <c r="B168" s="309"/>
      <c r="C168" s="127"/>
      <c r="D168" s="127"/>
      <c r="E168" s="127">
        <v>16</v>
      </c>
      <c r="F168" s="339" t="s">
        <v>673</v>
      </c>
      <c r="G168" s="340">
        <v>6250</v>
      </c>
      <c r="H168" s="340">
        <v>0</v>
      </c>
      <c r="I168" s="340">
        <v>0</v>
      </c>
      <c r="J168" s="340">
        <f t="shared" si="25"/>
        <v>6250</v>
      </c>
      <c r="K168" s="340"/>
      <c r="L168" s="340">
        <v>6250</v>
      </c>
      <c r="M168" s="340"/>
      <c r="N168" s="340"/>
      <c r="O168" s="340">
        <f t="shared" si="26"/>
        <v>6250</v>
      </c>
      <c r="P168" s="309"/>
      <c r="Q168" s="309"/>
      <c r="R168" s="309"/>
      <c r="S168" s="309"/>
    </row>
    <row r="169" spans="1:19" x14ac:dyDescent="0.25">
      <c r="A169" s="309"/>
      <c r="B169" s="309"/>
      <c r="C169" s="127"/>
      <c r="D169" s="127"/>
      <c r="E169" s="127">
        <v>17</v>
      </c>
      <c r="F169" s="339" t="s">
        <v>674</v>
      </c>
      <c r="G169" s="340">
        <v>7650</v>
      </c>
      <c r="H169" s="340">
        <v>0</v>
      </c>
      <c r="I169" s="340">
        <v>0</v>
      </c>
      <c r="J169" s="340">
        <f t="shared" si="25"/>
        <v>7650</v>
      </c>
      <c r="K169" s="340"/>
      <c r="L169" s="340">
        <v>7650</v>
      </c>
      <c r="M169" s="340"/>
      <c r="N169" s="340"/>
      <c r="O169" s="340">
        <f t="shared" si="26"/>
        <v>7650</v>
      </c>
      <c r="P169" s="309"/>
      <c r="Q169" s="309"/>
      <c r="R169" s="309"/>
      <c r="S169" s="309"/>
    </row>
    <row r="170" spans="1:19" x14ac:dyDescent="0.25">
      <c r="A170" s="309"/>
      <c r="B170" s="309"/>
      <c r="C170" s="127"/>
      <c r="D170" s="127"/>
      <c r="E170" s="127">
        <v>18</v>
      </c>
      <c r="F170" s="339" t="s">
        <v>675</v>
      </c>
      <c r="G170" s="340">
        <v>2204</v>
      </c>
      <c r="H170" s="340">
        <v>0</v>
      </c>
      <c r="I170" s="340">
        <v>0</v>
      </c>
      <c r="J170" s="340">
        <f t="shared" si="25"/>
        <v>2204</v>
      </c>
      <c r="K170" s="340"/>
      <c r="L170" s="340">
        <v>2204</v>
      </c>
      <c r="M170" s="340"/>
      <c r="N170" s="340"/>
      <c r="O170" s="340">
        <f t="shared" si="26"/>
        <v>2204</v>
      </c>
      <c r="P170" s="309"/>
      <c r="Q170" s="309"/>
      <c r="R170" s="309"/>
      <c r="S170" s="309"/>
    </row>
    <row r="171" spans="1:19" x14ac:dyDescent="0.25">
      <c r="A171" s="309"/>
      <c r="B171" s="309"/>
      <c r="C171" s="127"/>
      <c r="D171" s="127"/>
      <c r="E171" s="127">
        <v>19</v>
      </c>
      <c r="F171" s="339" t="s">
        <v>714</v>
      </c>
      <c r="G171" s="340">
        <v>10546.25</v>
      </c>
      <c r="H171" s="340">
        <v>0</v>
      </c>
      <c r="I171" s="340">
        <v>9832</v>
      </c>
      <c r="J171" s="340">
        <f t="shared" si="25"/>
        <v>714.25</v>
      </c>
      <c r="K171" s="340"/>
      <c r="L171" s="340">
        <v>10546.25</v>
      </c>
      <c r="M171" s="340"/>
      <c r="N171" s="340"/>
      <c r="O171" s="340">
        <f t="shared" si="26"/>
        <v>10546.25</v>
      </c>
      <c r="P171" s="309"/>
      <c r="Q171" s="309"/>
      <c r="R171" s="309"/>
      <c r="S171" s="309"/>
    </row>
    <row r="172" spans="1:19" x14ac:dyDescent="0.25">
      <c r="A172" s="309"/>
      <c r="B172" s="309"/>
      <c r="C172" s="127"/>
      <c r="D172" s="127"/>
      <c r="E172" s="127">
        <v>20</v>
      </c>
      <c r="F172" s="339" t="s">
        <v>715</v>
      </c>
      <c r="G172" s="340">
        <v>8538.75</v>
      </c>
      <c r="H172" s="340">
        <v>0</v>
      </c>
      <c r="I172" s="340">
        <v>8539</v>
      </c>
      <c r="J172" s="340">
        <f t="shared" si="25"/>
        <v>-0.25</v>
      </c>
      <c r="K172" s="340"/>
      <c r="L172" s="340">
        <v>8538.75</v>
      </c>
      <c r="M172" s="340"/>
      <c r="N172" s="340"/>
      <c r="O172" s="340">
        <f t="shared" si="26"/>
        <v>8538.75</v>
      </c>
      <c r="P172" s="309"/>
      <c r="Q172" s="309"/>
      <c r="R172" s="309"/>
      <c r="S172" s="309"/>
    </row>
    <row r="173" spans="1:19" x14ac:dyDescent="0.25">
      <c r="A173" s="309"/>
      <c r="B173" s="309"/>
      <c r="C173" s="127"/>
      <c r="D173" s="127"/>
      <c r="E173" s="127">
        <v>21</v>
      </c>
      <c r="F173" s="339" t="s">
        <v>716</v>
      </c>
      <c r="G173" s="340">
        <v>9999</v>
      </c>
      <c r="H173" s="340">
        <v>0</v>
      </c>
      <c r="I173" s="340">
        <v>0</v>
      </c>
      <c r="J173" s="340">
        <f t="shared" si="25"/>
        <v>9999</v>
      </c>
      <c r="K173" s="340"/>
      <c r="L173" s="340">
        <v>9999</v>
      </c>
      <c r="M173" s="340"/>
      <c r="N173" s="340"/>
      <c r="O173" s="340">
        <f t="shared" si="26"/>
        <v>9999</v>
      </c>
      <c r="P173" s="309"/>
      <c r="Q173" s="309"/>
      <c r="R173" s="309"/>
      <c r="S173" s="309"/>
    </row>
    <row r="174" spans="1:19" x14ac:dyDescent="0.25">
      <c r="A174" s="309"/>
      <c r="B174" s="309"/>
      <c r="C174" s="127"/>
      <c r="D174" s="127"/>
      <c r="E174" s="127">
        <v>22</v>
      </c>
      <c r="F174" s="339" t="s">
        <v>717</v>
      </c>
      <c r="G174" s="340">
        <v>9980.64</v>
      </c>
      <c r="H174" s="340">
        <v>0</v>
      </c>
      <c r="I174" s="340">
        <v>0</v>
      </c>
      <c r="J174" s="340">
        <f t="shared" si="25"/>
        <v>9980.64</v>
      </c>
      <c r="K174" s="340"/>
      <c r="L174" s="340">
        <v>9980.64</v>
      </c>
      <c r="M174" s="340"/>
      <c r="N174" s="340"/>
      <c r="O174" s="340">
        <f t="shared" si="26"/>
        <v>9980.64</v>
      </c>
      <c r="P174" s="309"/>
      <c r="Q174" s="309"/>
      <c r="R174" s="309"/>
      <c r="S174" s="309"/>
    </row>
    <row r="175" spans="1:19" x14ac:dyDescent="0.25">
      <c r="A175" s="309"/>
      <c r="B175" s="309"/>
      <c r="C175" s="127"/>
      <c r="D175" s="127"/>
      <c r="E175" s="127">
        <v>23</v>
      </c>
      <c r="F175" s="339" t="s">
        <v>718</v>
      </c>
      <c r="G175" s="340">
        <v>10500</v>
      </c>
      <c r="H175" s="340">
        <v>0</v>
      </c>
      <c r="I175" s="340">
        <v>0</v>
      </c>
      <c r="J175" s="340">
        <f t="shared" si="25"/>
        <v>10500</v>
      </c>
      <c r="K175" s="340"/>
      <c r="L175" s="340">
        <v>10500</v>
      </c>
      <c r="M175" s="340"/>
      <c r="N175" s="340"/>
      <c r="O175" s="340">
        <f t="shared" si="26"/>
        <v>10500</v>
      </c>
      <c r="P175" s="341">
        <f>SUM(O153:O175)</f>
        <v>402112.49</v>
      </c>
      <c r="Q175" s="309"/>
      <c r="R175" s="309"/>
      <c r="S175" s="309"/>
    </row>
    <row r="176" spans="1:19" x14ac:dyDescent="0.25">
      <c r="A176" s="309"/>
      <c r="B176" s="309"/>
      <c r="C176" s="127"/>
      <c r="D176" s="127"/>
      <c r="E176" s="127">
        <v>1</v>
      </c>
      <c r="F176" s="339" t="s">
        <v>676</v>
      </c>
      <c r="G176" s="340">
        <v>6920</v>
      </c>
      <c r="H176" s="340">
        <v>0</v>
      </c>
      <c r="I176" s="340">
        <v>0</v>
      </c>
      <c r="J176" s="340">
        <f t="shared" si="25"/>
        <v>6920</v>
      </c>
      <c r="K176" s="340"/>
      <c r="L176" s="340">
        <v>6920</v>
      </c>
      <c r="M176" s="340"/>
      <c r="N176" s="340"/>
      <c r="O176" s="340">
        <f t="shared" si="26"/>
        <v>6920</v>
      </c>
      <c r="P176" s="309"/>
      <c r="Q176" s="309"/>
      <c r="R176" s="309"/>
      <c r="S176" s="309"/>
    </row>
    <row r="177" spans="1:19" x14ac:dyDescent="0.25">
      <c r="A177" s="309"/>
      <c r="B177" s="309"/>
      <c r="C177" s="127"/>
      <c r="D177" s="127"/>
      <c r="E177" s="127">
        <v>2</v>
      </c>
      <c r="F177" s="339" t="s">
        <v>677</v>
      </c>
      <c r="G177" s="340">
        <v>4111.25</v>
      </c>
      <c r="H177" s="340">
        <v>0</v>
      </c>
      <c r="I177" s="340">
        <v>0</v>
      </c>
      <c r="J177" s="340">
        <f t="shared" si="25"/>
        <v>4111.25</v>
      </c>
      <c r="K177" s="340"/>
      <c r="L177" s="340">
        <v>4111.25</v>
      </c>
      <c r="M177" s="340"/>
      <c r="N177" s="340"/>
      <c r="O177" s="340">
        <f t="shared" si="26"/>
        <v>4111.25</v>
      </c>
      <c r="P177" s="309"/>
      <c r="Q177" s="309"/>
      <c r="R177" s="309"/>
      <c r="S177" s="309"/>
    </row>
    <row r="178" spans="1:19" x14ac:dyDescent="0.25">
      <c r="A178" s="309"/>
      <c r="B178" s="309"/>
      <c r="C178" s="127"/>
      <c r="D178" s="127"/>
      <c r="E178" s="127">
        <v>3</v>
      </c>
      <c r="F178" s="339" t="s">
        <v>678</v>
      </c>
      <c r="G178" s="340">
        <v>795</v>
      </c>
      <c r="H178" s="340">
        <v>0</v>
      </c>
      <c r="I178" s="340">
        <v>795</v>
      </c>
      <c r="J178" s="340">
        <f t="shared" si="25"/>
        <v>0</v>
      </c>
      <c r="K178" s="340"/>
      <c r="L178" s="340">
        <v>795</v>
      </c>
      <c r="M178" s="340"/>
      <c r="N178" s="340"/>
      <c r="O178" s="340">
        <f t="shared" si="26"/>
        <v>795</v>
      </c>
      <c r="P178" s="309"/>
      <c r="Q178" s="309"/>
      <c r="R178" s="309"/>
      <c r="S178" s="309"/>
    </row>
    <row r="179" spans="1:19" x14ac:dyDescent="0.25">
      <c r="A179" s="309"/>
      <c r="B179" s="309"/>
      <c r="C179" s="127"/>
      <c r="D179" s="127"/>
      <c r="E179" s="127">
        <v>4</v>
      </c>
      <c r="F179" s="339" t="s">
        <v>679</v>
      </c>
      <c r="G179" s="340">
        <v>73560.63</v>
      </c>
      <c r="H179" s="340">
        <v>0</v>
      </c>
      <c r="I179" s="340">
        <v>38119</v>
      </c>
      <c r="J179" s="340">
        <f t="shared" si="25"/>
        <v>35441.630000000005</v>
      </c>
      <c r="K179" s="340"/>
      <c r="L179" s="340">
        <v>73560.63</v>
      </c>
      <c r="M179" s="340"/>
      <c r="N179" s="340"/>
      <c r="O179" s="340">
        <f t="shared" si="26"/>
        <v>73560.63</v>
      </c>
      <c r="P179" s="309"/>
      <c r="Q179" s="309"/>
      <c r="R179" s="309"/>
      <c r="S179" s="309"/>
    </row>
    <row r="180" spans="1:19" x14ac:dyDescent="0.25">
      <c r="A180" s="309"/>
      <c r="B180" s="309"/>
      <c r="C180" s="127"/>
      <c r="D180" s="127"/>
      <c r="E180" s="127">
        <v>5</v>
      </c>
      <c r="F180" s="339" t="s">
        <v>680</v>
      </c>
      <c r="G180" s="340">
        <v>14998.99</v>
      </c>
      <c r="H180" s="340">
        <v>0</v>
      </c>
      <c r="I180" s="340">
        <v>0</v>
      </c>
      <c r="J180" s="340">
        <f t="shared" si="25"/>
        <v>14998.99</v>
      </c>
      <c r="K180" s="340"/>
      <c r="L180" s="340">
        <v>14998.99</v>
      </c>
      <c r="M180" s="340"/>
      <c r="N180" s="340"/>
      <c r="O180" s="340">
        <f t="shared" si="26"/>
        <v>14998.99</v>
      </c>
      <c r="P180" s="309"/>
      <c r="Q180" s="309"/>
      <c r="R180" s="309"/>
      <c r="S180" s="309"/>
    </row>
    <row r="181" spans="1:19" x14ac:dyDescent="0.25">
      <c r="A181" s="309"/>
      <c r="B181" s="309"/>
      <c r="C181" s="127"/>
      <c r="D181" s="127"/>
      <c r="E181" s="127">
        <v>6</v>
      </c>
      <c r="F181" s="339" t="s">
        <v>681</v>
      </c>
      <c r="G181" s="340">
        <v>4610</v>
      </c>
      <c r="H181" s="340">
        <v>0</v>
      </c>
      <c r="I181" s="340">
        <v>0</v>
      </c>
      <c r="J181" s="340">
        <f t="shared" si="25"/>
        <v>4610</v>
      </c>
      <c r="K181" s="340"/>
      <c r="L181" s="340">
        <v>4610</v>
      </c>
      <c r="M181" s="340"/>
      <c r="N181" s="340"/>
      <c r="O181" s="340">
        <f t="shared" si="26"/>
        <v>4610</v>
      </c>
      <c r="P181" s="309"/>
      <c r="Q181" s="309"/>
      <c r="R181" s="309"/>
      <c r="S181" s="309"/>
    </row>
    <row r="182" spans="1:19" x14ac:dyDescent="0.25">
      <c r="A182" s="309"/>
      <c r="B182" s="309"/>
      <c r="C182" s="127"/>
      <c r="D182" s="127"/>
      <c r="E182" s="127">
        <v>7</v>
      </c>
      <c r="F182" s="339" t="s">
        <v>682</v>
      </c>
      <c r="G182" s="340">
        <v>13500</v>
      </c>
      <c r="H182" s="340">
        <v>0</v>
      </c>
      <c r="I182" s="340">
        <v>0</v>
      </c>
      <c r="J182" s="340">
        <f t="shared" si="25"/>
        <v>13500</v>
      </c>
      <c r="K182" s="340"/>
      <c r="L182" s="340">
        <v>13500</v>
      </c>
      <c r="M182" s="340"/>
      <c r="N182" s="340"/>
      <c r="O182" s="340">
        <f t="shared" si="26"/>
        <v>13500</v>
      </c>
      <c r="P182" s="309"/>
      <c r="Q182" s="309"/>
      <c r="R182" s="309"/>
      <c r="S182" s="309"/>
    </row>
    <row r="183" spans="1:19" x14ac:dyDescent="0.25">
      <c r="A183" s="309"/>
      <c r="B183" s="309"/>
      <c r="C183" s="127"/>
      <c r="D183" s="127"/>
      <c r="E183" s="127">
        <v>8</v>
      </c>
      <c r="F183" s="339" t="s">
        <v>719</v>
      </c>
      <c r="G183" s="340">
        <v>27880.6</v>
      </c>
      <c r="H183" s="340">
        <v>0</v>
      </c>
      <c r="I183" s="340">
        <v>0</v>
      </c>
      <c r="J183" s="340">
        <f t="shared" si="25"/>
        <v>27880.6</v>
      </c>
      <c r="K183" s="340"/>
      <c r="L183" s="340">
        <v>27880.6</v>
      </c>
      <c r="M183" s="340"/>
      <c r="N183" s="340"/>
      <c r="O183" s="340">
        <f t="shared" si="26"/>
        <v>27880.6</v>
      </c>
      <c r="P183" s="309"/>
      <c r="Q183" s="309"/>
      <c r="R183" s="309"/>
      <c r="S183" s="309"/>
    </row>
    <row r="184" spans="1:19" x14ac:dyDescent="0.25">
      <c r="A184" s="309"/>
      <c r="B184" s="309"/>
      <c r="C184" s="127"/>
      <c r="D184" s="127"/>
      <c r="E184" s="127">
        <v>9</v>
      </c>
      <c r="F184" s="339" t="s">
        <v>720</v>
      </c>
      <c r="G184" s="340">
        <v>29550</v>
      </c>
      <c r="H184" s="340">
        <v>0</v>
      </c>
      <c r="I184" s="340">
        <v>0</v>
      </c>
      <c r="J184" s="340">
        <f t="shared" si="25"/>
        <v>29550</v>
      </c>
      <c r="K184" s="340"/>
      <c r="L184" s="340">
        <v>29550</v>
      </c>
      <c r="M184" s="340"/>
      <c r="N184" s="340"/>
      <c r="O184" s="340">
        <f t="shared" si="26"/>
        <v>29550</v>
      </c>
      <c r="P184" s="309"/>
      <c r="Q184" s="309"/>
      <c r="R184" s="309"/>
      <c r="S184" s="309"/>
    </row>
    <row r="185" spans="1:19" x14ac:dyDescent="0.25">
      <c r="A185" s="309"/>
      <c r="B185" s="309"/>
      <c r="C185" s="127"/>
      <c r="D185" s="127"/>
      <c r="E185" s="127">
        <v>10</v>
      </c>
      <c r="F185" s="339" t="s">
        <v>721</v>
      </c>
      <c r="G185" s="340">
        <v>4950</v>
      </c>
      <c r="H185" s="340">
        <v>0</v>
      </c>
      <c r="I185" s="340">
        <v>4950</v>
      </c>
      <c r="J185" s="340">
        <f t="shared" si="25"/>
        <v>0</v>
      </c>
      <c r="K185" s="340">
        <f>SUM(J176:J185)</f>
        <v>137012.47</v>
      </c>
      <c r="L185" s="340">
        <v>4950</v>
      </c>
      <c r="M185" s="340"/>
      <c r="N185" s="340"/>
      <c r="O185" s="340">
        <f t="shared" si="26"/>
        <v>4950</v>
      </c>
      <c r="P185" s="341">
        <f>SUM(O176:O185)</f>
        <v>180876.47</v>
      </c>
      <c r="Q185" s="309"/>
      <c r="R185" s="309"/>
      <c r="S185" s="309"/>
    </row>
    <row r="186" spans="1:19" x14ac:dyDescent="0.25">
      <c r="A186" s="309"/>
      <c r="B186" s="309"/>
      <c r="C186" s="127"/>
      <c r="D186" s="127"/>
      <c r="E186" s="127">
        <v>1</v>
      </c>
      <c r="F186" s="339" t="s">
        <v>683</v>
      </c>
      <c r="G186" s="340">
        <v>17049.39</v>
      </c>
      <c r="H186" s="340">
        <v>0</v>
      </c>
      <c r="I186" s="340">
        <v>4436</v>
      </c>
      <c r="J186" s="340">
        <f t="shared" si="25"/>
        <v>12613.39</v>
      </c>
      <c r="K186" s="340"/>
      <c r="L186" s="340">
        <v>17049.39</v>
      </c>
      <c r="M186" s="340"/>
      <c r="N186" s="340"/>
      <c r="O186" s="340">
        <f t="shared" si="26"/>
        <v>17049.39</v>
      </c>
      <c r="P186" s="309"/>
      <c r="Q186" s="309"/>
      <c r="R186" s="309"/>
      <c r="S186" s="309"/>
    </row>
    <row r="187" spans="1:19" x14ac:dyDescent="0.25">
      <c r="A187" s="309"/>
      <c r="B187" s="309"/>
      <c r="C187" s="127"/>
      <c r="D187" s="127"/>
      <c r="E187" s="127">
        <v>2</v>
      </c>
      <c r="F187" s="339" t="s">
        <v>684</v>
      </c>
      <c r="G187" s="340">
        <v>37049.9</v>
      </c>
      <c r="H187" s="340">
        <v>0</v>
      </c>
      <c r="I187" s="340">
        <v>1859</v>
      </c>
      <c r="J187" s="340">
        <f t="shared" si="25"/>
        <v>35190.9</v>
      </c>
      <c r="K187" s="340"/>
      <c r="L187" s="340">
        <v>37049.9</v>
      </c>
      <c r="M187" s="340"/>
      <c r="N187" s="340"/>
      <c r="O187" s="340">
        <f t="shared" si="26"/>
        <v>37049.9</v>
      </c>
      <c r="P187" s="309"/>
      <c r="Q187" s="309"/>
      <c r="R187" s="309"/>
      <c r="S187" s="309"/>
    </row>
    <row r="188" spans="1:19" x14ac:dyDescent="0.25">
      <c r="A188" s="309"/>
      <c r="B188" s="309"/>
      <c r="C188" s="127"/>
      <c r="D188" s="127"/>
      <c r="E188" s="127">
        <v>3</v>
      </c>
      <c r="F188" s="339" t="s">
        <v>685</v>
      </c>
      <c r="G188" s="340">
        <v>24137</v>
      </c>
      <c r="H188" s="340">
        <v>0</v>
      </c>
      <c r="I188" s="340">
        <v>24137</v>
      </c>
      <c r="J188" s="340">
        <f t="shared" si="25"/>
        <v>0</v>
      </c>
      <c r="K188" s="340"/>
      <c r="L188" s="340">
        <v>24137</v>
      </c>
      <c r="M188" s="340"/>
      <c r="N188" s="340"/>
      <c r="O188" s="340">
        <f t="shared" si="26"/>
        <v>24137</v>
      </c>
      <c r="P188" s="309"/>
      <c r="Q188" s="309"/>
      <c r="R188" s="309"/>
      <c r="S188" s="309"/>
    </row>
    <row r="189" spans="1:19" x14ac:dyDescent="0.25">
      <c r="A189" s="309"/>
      <c r="B189" s="309"/>
      <c r="C189" s="127"/>
      <c r="D189" s="127"/>
      <c r="E189" s="127">
        <v>4</v>
      </c>
      <c r="F189" s="339" t="s">
        <v>686</v>
      </c>
      <c r="G189" s="340">
        <v>12548</v>
      </c>
      <c r="H189" s="340">
        <v>0</v>
      </c>
      <c r="I189" s="340">
        <v>0</v>
      </c>
      <c r="J189" s="340">
        <f t="shared" si="25"/>
        <v>12548</v>
      </c>
      <c r="K189" s="340"/>
      <c r="L189" s="340">
        <v>12548</v>
      </c>
      <c r="M189" s="340"/>
      <c r="N189" s="340"/>
      <c r="O189" s="340">
        <f t="shared" si="26"/>
        <v>12548</v>
      </c>
      <c r="P189" s="309"/>
      <c r="Q189" s="309"/>
      <c r="R189" s="309"/>
      <c r="S189" s="309"/>
    </row>
    <row r="190" spans="1:19" x14ac:dyDescent="0.25">
      <c r="A190" s="309"/>
      <c r="B190" s="309"/>
      <c r="C190" s="127"/>
      <c r="D190" s="127"/>
      <c r="E190" s="127">
        <v>5</v>
      </c>
      <c r="F190" s="339" t="s">
        <v>687</v>
      </c>
      <c r="G190" s="340">
        <v>4400</v>
      </c>
      <c r="H190" s="340">
        <v>0</v>
      </c>
      <c r="I190" s="340">
        <v>0</v>
      </c>
      <c r="J190" s="340">
        <f t="shared" si="25"/>
        <v>4400</v>
      </c>
      <c r="K190" s="340"/>
      <c r="L190" s="340">
        <v>4400</v>
      </c>
      <c r="M190" s="340"/>
      <c r="N190" s="340"/>
      <c r="O190" s="340">
        <f t="shared" si="26"/>
        <v>4400</v>
      </c>
      <c r="P190" s="309"/>
      <c r="Q190" s="309"/>
      <c r="R190" s="309"/>
      <c r="S190" s="309"/>
    </row>
    <row r="191" spans="1:19" x14ac:dyDescent="0.25">
      <c r="A191" s="309"/>
      <c r="B191" s="309"/>
      <c r="C191" s="127"/>
      <c r="D191" s="127"/>
      <c r="E191" s="127">
        <v>6</v>
      </c>
      <c r="F191" s="339" t="s">
        <v>688</v>
      </c>
      <c r="G191" s="340">
        <v>1836</v>
      </c>
      <c r="H191" s="340">
        <v>0</v>
      </c>
      <c r="I191" s="340">
        <v>0</v>
      </c>
      <c r="J191" s="340">
        <f t="shared" si="25"/>
        <v>1836</v>
      </c>
      <c r="K191" s="340"/>
      <c r="L191" s="340">
        <v>1836</v>
      </c>
      <c r="M191" s="340"/>
      <c r="N191" s="340"/>
      <c r="O191" s="340">
        <f t="shared" si="26"/>
        <v>1836</v>
      </c>
      <c r="P191" s="309"/>
      <c r="Q191" s="309"/>
      <c r="R191" s="309"/>
      <c r="S191" s="309"/>
    </row>
    <row r="192" spans="1:19" x14ac:dyDescent="0.25">
      <c r="A192" s="309"/>
      <c r="B192" s="309"/>
      <c r="C192" s="127"/>
      <c r="D192" s="127"/>
      <c r="E192" s="127">
        <v>7</v>
      </c>
      <c r="F192" s="339" t="s">
        <v>689</v>
      </c>
      <c r="G192" s="340">
        <v>435</v>
      </c>
      <c r="H192" s="340">
        <v>0</v>
      </c>
      <c r="I192" s="340">
        <v>0</v>
      </c>
      <c r="J192" s="340">
        <f t="shared" si="25"/>
        <v>435</v>
      </c>
      <c r="K192" s="340"/>
      <c r="L192" s="340">
        <v>435</v>
      </c>
      <c r="M192" s="340"/>
      <c r="N192" s="340"/>
      <c r="O192" s="340">
        <f t="shared" si="26"/>
        <v>435</v>
      </c>
      <c r="P192" s="309"/>
      <c r="Q192" s="309"/>
      <c r="R192" s="309"/>
      <c r="S192" s="309"/>
    </row>
    <row r="193" spans="1:19" x14ac:dyDescent="0.25">
      <c r="A193" s="309"/>
      <c r="B193" s="309"/>
      <c r="C193" s="127"/>
      <c r="D193" s="127"/>
      <c r="E193" s="127">
        <v>8</v>
      </c>
      <c r="F193" s="339" t="s">
        <v>690</v>
      </c>
      <c r="G193" s="340">
        <v>300</v>
      </c>
      <c r="H193" s="340">
        <v>0</v>
      </c>
      <c r="I193" s="340">
        <v>0</v>
      </c>
      <c r="J193" s="340">
        <f t="shared" si="25"/>
        <v>300</v>
      </c>
      <c r="K193" s="340"/>
      <c r="L193" s="340">
        <v>300</v>
      </c>
      <c r="M193" s="340"/>
      <c r="N193" s="340"/>
      <c r="O193" s="340">
        <f t="shared" si="26"/>
        <v>300</v>
      </c>
      <c r="P193" s="309"/>
      <c r="Q193" s="309"/>
      <c r="R193" s="309"/>
      <c r="S193" s="309"/>
    </row>
    <row r="194" spans="1:19" x14ac:dyDescent="0.25">
      <c r="A194" s="309"/>
      <c r="B194" s="309"/>
      <c r="C194" s="127"/>
      <c r="D194" s="127"/>
      <c r="E194" s="127">
        <v>9</v>
      </c>
      <c r="F194" s="339" t="s">
        <v>691</v>
      </c>
      <c r="G194" s="340">
        <v>8625</v>
      </c>
      <c r="H194" s="340">
        <v>0</v>
      </c>
      <c r="I194" s="340">
        <v>0</v>
      </c>
      <c r="J194" s="340">
        <f t="shared" si="25"/>
        <v>8625</v>
      </c>
      <c r="K194" s="340"/>
      <c r="L194" s="340">
        <v>8625</v>
      </c>
      <c r="M194" s="340"/>
      <c r="N194" s="340"/>
      <c r="O194" s="340">
        <f t="shared" si="26"/>
        <v>8625</v>
      </c>
      <c r="P194" s="309"/>
      <c r="Q194" s="309"/>
      <c r="R194" s="309"/>
      <c r="S194" s="309"/>
    </row>
    <row r="195" spans="1:19" x14ac:dyDescent="0.25">
      <c r="A195" s="309"/>
      <c r="B195" s="309"/>
      <c r="C195" s="127"/>
      <c r="D195" s="127"/>
      <c r="E195" s="127">
        <v>10</v>
      </c>
      <c r="F195" s="339" t="s">
        <v>692</v>
      </c>
      <c r="G195" s="340">
        <v>1198</v>
      </c>
      <c r="H195" s="340">
        <v>0</v>
      </c>
      <c r="I195" s="340">
        <v>0</v>
      </c>
      <c r="J195" s="340">
        <f t="shared" si="25"/>
        <v>1198</v>
      </c>
      <c r="K195" s="340"/>
      <c r="L195" s="340">
        <v>1198</v>
      </c>
      <c r="M195" s="340"/>
      <c r="N195" s="340"/>
      <c r="O195" s="340">
        <f t="shared" si="26"/>
        <v>1198</v>
      </c>
      <c r="P195" s="309"/>
      <c r="Q195" s="309"/>
      <c r="R195" s="309"/>
      <c r="S195" s="309"/>
    </row>
    <row r="196" spans="1:19" x14ac:dyDescent="0.25">
      <c r="A196" s="309"/>
      <c r="B196" s="309"/>
      <c r="C196" s="127"/>
      <c r="D196" s="127"/>
      <c r="E196" s="127">
        <v>11</v>
      </c>
      <c r="F196" s="339" t="s">
        <v>693</v>
      </c>
      <c r="G196" s="340">
        <v>189</v>
      </c>
      <c r="H196" s="340">
        <v>0</v>
      </c>
      <c r="I196" s="340">
        <v>0</v>
      </c>
      <c r="J196" s="340">
        <f t="shared" si="25"/>
        <v>189</v>
      </c>
      <c r="K196" s="340"/>
      <c r="L196" s="340">
        <v>189</v>
      </c>
      <c r="M196" s="340"/>
      <c r="N196" s="340"/>
      <c r="O196" s="340">
        <f t="shared" si="26"/>
        <v>189</v>
      </c>
      <c r="P196" s="309"/>
      <c r="Q196" s="309"/>
      <c r="R196" s="309"/>
      <c r="S196" s="309"/>
    </row>
    <row r="197" spans="1:19" x14ac:dyDescent="0.25">
      <c r="A197" s="309"/>
      <c r="B197" s="309"/>
      <c r="C197" s="127"/>
      <c r="D197" s="127"/>
      <c r="E197" s="127">
        <v>12</v>
      </c>
      <c r="F197" s="339" t="s">
        <v>694</v>
      </c>
      <c r="G197" s="340">
        <v>315</v>
      </c>
      <c r="H197" s="340">
        <v>0</v>
      </c>
      <c r="I197" s="340">
        <v>0</v>
      </c>
      <c r="J197" s="340">
        <f t="shared" si="25"/>
        <v>315</v>
      </c>
      <c r="K197" s="340"/>
      <c r="L197" s="340">
        <v>315</v>
      </c>
      <c r="M197" s="340"/>
      <c r="N197" s="340"/>
      <c r="O197" s="340">
        <f t="shared" si="26"/>
        <v>315</v>
      </c>
      <c r="P197" s="309"/>
      <c r="Q197" s="309"/>
      <c r="R197" s="309"/>
      <c r="S197" s="309"/>
    </row>
    <row r="198" spans="1:19" x14ac:dyDescent="0.25">
      <c r="A198" s="309"/>
      <c r="B198" s="309"/>
      <c r="C198" s="127"/>
      <c r="D198" s="127"/>
      <c r="E198" s="127">
        <v>13</v>
      </c>
      <c r="F198" s="339" t="s">
        <v>695</v>
      </c>
      <c r="G198" s="340">
        <v>2304.06</v>
      </c>
      <c r="H198" s="340">
        <v>0</v>
      </c>
      <c r="I198" s="340">
        <v>699</v>
      </c>
      <c r="J198" s="340">
        <f t="shared" si="25"/>
        <v>1605.06</v>
      </c>
      <c r="K198" s="340"/>
      <c r="L198" s="340">
        <v>2304.06</v>
      </c>
      <c r="M198" s="340"/>
      <c r="N198" s="340"/>
      <c r="O198" s="340">
        <f t="shared" si="26"/>
        <v>2304.06</v>
      </c>
      <c r="P198" s="309"/>
      <c r="Q198" s="309"/>
      <c r="R198" s="309"/>
      <c r="S198" s="309"/>
    </row>
    <row r="199" spans="1:19" x14ac:dyDescent="0.25">
      <c r="A199" s="309"/>
      <c r="B199" s="309"/>
      <c r="C199" s="127"/>
      <c r="D199" s="127"/>
      <c r="E199" s="127">
        <v>14</v>
      </c>
      <c r="F199" s="339" t="s">
        <v>696</v>
      </c>
      <c r="G199" s="340">
        <v>12382</v>
      </c>
      <c r="H199" s="340">
        <v>0</v>
      </c>
      <c r="I199" s="340">
        <v>0</v>
      </c>
      <c r="J199" s="340">
        <f t="shared" si="25"/>
        <v>12382</v>
      </c>
      <c r="K199" s="340"/>
      <c r="L199" s="340">
        <v>12382</v>
      </c>
      <c r="M199" s="340"/>
      <c r="N199" s="340"/>
      <c r="O199" s="340">
        <f t="shared" si="26"/>
        <v>12382</v>
      </c>
      <c r="P199" s="309"/>
      <c r="Q199" s="309"/>
      <c r="R199" s="309"/>
      <c r="S199" s="309"/>
    </row>
    <row r="200" spans="1:19" x14ac:dyDescent="0.25">
      <c r="A200" s="309"/>
      <c r="B200" s="309"/>
      <c r="C200" s="127"/>
      <c r="D200" s="127"/>
      <c r="E200" s="127">
        <v>15</v>
      </c>
      <c r="F200" s="339" t="s">
        <v>697</v>
      </c>
      <c r="G200" s="340">
        <v>4680.01</v>
      </c>
      <c r="H200" s="340">
        <v>0</v>
      </c>
      <c r="I200" s="340">
        <v>0</v>
      </c>
      <c r="J200" s="340">
        <f t="shared" si="25"/>
        <v>4680.01</v>
      </c>
      <c r="K200" s="340"/>
      <c r="L200" s="340">
        <v>4680.01</v>
      </c>
      <c r="M200" s="340"/>
      <c r="N200" s="340"/>
      <c r="O200" s="340">
        <f t="shared" si="26"/>
        <v>4680.01</v>
      </c>
      <c r="P200" s="309"/>
      <c r="Q200" s="309"/>
      <c r="R200" s="309"/>
      <c r="S200" s="309"/>
    </row>
    <row r="201" spans="1:19" x14ac:dyDescent="0.25">
      <c r="A201" s="309"/>
      <c r="B201" s="309"/>
      <c r="C201" s="127"/>
      <c r="D201" s="127"/>
      <c r="E201" s="127">
        <v>16</v>
      </c>
      <c r="F201" s="339" t="s">
        <v>698</v>
      </c>
      <c r="G201" s="340">
        <v>629</v>
      </c>
      <c r="H201" s="340">
        <v>0</v>
      </c>
      <c r="I201" s="340">
        <v>0</v>
      </c>
      <c r="J201" s="340">
        <f t="shared" si="25"/>
        <v>629</v>
      </c>
      <c r="K201" s="340"/>
      <c r="L201" s="340">
        <v>629</v>
      </c>
      <c r="M201" s="340"/>
      <c r="N201" s="340"/>
      <c r="O201" s="340">
        <f t="shared" si="26"/>
        <v>629</v>
      </c>
      <c r="P201" s="309"/>
      <c r="Q201" s="309"/>
      <c r="R201" s="309"/>
      <c r="S201" s="309"/>
    </row>
    <row r="202" spans="1:19" x14ac:dyDescent="0.25">
      <c r="A202" s="309"/>
      <c r="B202" s="309"/>
      <c r="C202" s="127"/>
      <c r="D202" s="127"/>
      <c r="E202" s="127">
        <v>17</v>
      </c>
      <c r="F202" s="339" t="s">
        <v>699</v>
      </c>
      <c r="G202" s="340">
        <v>2334.4</v>
      </c>
      <c r="H202" s="340">
        <v>0</v>
      </c>
      <c r="I202" s="340">
        <v>0</v>
      </c>
      <c r="J202" s="340">
        <f t="shared" si="25"/>
        <v>2334.4</v>
      </c>
      <c r="K202" s="340"/>
      <c r="L202" s="340">
        <v>2334.4</v>
      </c>
      <c r="M202" s="340"/>
      <c r="N202" s="340"/>
      <c r="O202" s="340">
        <f t="shared" si="26"/>
        <v>2334.4</v>
      </c>
      <c r="P202" s="309"/>
      <c r="Q202" s="309"/>
      <c r="R202" s="309"/>
      <c r="S202" s="309"/>
    </row>
    <row r="203" spans="1:19" x14ac:dyDescent="0.25">
      <c r="A203" s="309"/>
      <c r="B203" s="309"/>
      <c r="C203" s="127"/>
      <c r="D203" s="127"/>
      <c r="E203" s="127">
        <v>18</v>
      </c>
      <c r="F203" s="339" t="s">
        <v>700</v>
      </c>
      <c r="G203" s="340">
        <v>2900</v>
      </c>
      <c r="H203" s="340">
        <v>0</v>
      </c>
      <c r="I203" s="340">
        <v>0</v>
      </c>
      <c r="J203" s="340">
        <f t="shared" si="25"/>
        <v>2900</v>
      </c>
      <c r="K203" s="340"/>
      <c r="L203" s="340">
        <v>2900</v>
      </c>
      <c r="M203" s="340"/>
      <c r="N203" s="340"/>
      <c r="O203" s="340">
        <f t="shared" si="26"/>
        <v>2900</v>
      </c>
      <c r="P203" s="309"/>
      <c r="Q203" s="309"/>
      <c r="R203" s="309"/>
      <c r="S203" s="309"/>
    </row>
    <row r="204" spans="1:19" x14ac:dyDescent="0.25">
      <c r="A204" s="309"/>
      <c r="B204" s="309"/>
      <c r="C204" s="127"/>
      <c r="D204" s="127"/>
      <c r="E204" s="127">
        <v>19</v>
      </c>
      <c r="F204" s="339" t="s">
        <v>709</v>
      </c>
      <c r="G204" s="340">
        <v>4640</v>
      </c>
      <c r="H204" s="340">
        <v>0</v>
      </c>
      <c r="I204" s="340">
        <v>0</v>
      </c>
      <c r="J204" s="340">
        <f t="shared" si="25"/>
        <v>4640</v>
      </c>
      <c r="K204" s="340"/>
      <c r="L204" s="340">
        <v>4640</v>
      </c>
      <c r="M204" s="340"/>
      <c r="N204" s="340"/>
      <c r="O204" s="340">
        <f t="shared" si="26"/>
        <v>4640</v>
      </c>
      <c r="P204" s="309"/>
      <c r="Q204" s="309"/>
      <c r="R204" s="309"/>
      <c r="S204" s="309"/>
    </row>
    <row r="205" spans="1:19" x14ac:dyDescent="0.25">
      <c r="A205" s="309"/>
      <c r="B205" s="309"/>
      <c r="C205" s="127"/>
      <c r="D205" s="127"/>
      <c r="E205" s="127">
        <v>20</v>
      </c>
      <c r="F205" s="339" t="s">
        <v>710</v>
      </c>
      <c r="G205" s="340">
        <v>0</v>
      </c>
      <c r="H205" s="340">
        <v>0</v>
      </c>
      <c r="I205" s="340">
        <v>0</v>
      </c>
      <c r="J205" s="340">
        <f t="shared" si="25"/>
        <v>0</v>
      </c>
      <c r="K205" s="340"/>
      <c r="L205" s="340">
        <v>0</v>
      </c>
      <c r="M205" s="340"/>
      <c r="N205" s="340"/>
      <c r="O205" s="340">
        <f t="shared" si="26"/>
        <v>0</v>
      </c>
      <c r="P205" s="309"/>
      <c r="Q205" s="309"/>
      <c r="R205" s="309"/>
      <c r="S205" s="309"/>
    </row>
    <row r="206" spans="1:19" x14ac:dyDescent="0.25">
      <c r="A206" s="309"/>
      <c r="B206" s="309"/>
      <c r="C206" s="127"/>
      <c r="D206" s="127"/>
      <c r="E206" s="127">
        <v>21</v>
      </c>
      <c r="F206" s="339" t="s">
        <v>711</v>
      </c>
      <c r="G206" s="340">
        <v>9499.99</v>
      </c>
      <c r="H206" s="340">
        <v>0</v>
      </c>
      <c r="I206" s="340">
        <v>0</v>
      </c>
      <c r="J206" s="340">
        <f t="shared" si="25"/>
        <v>9499.99</v>
      </c>
      <c r="K206" s="340"/>
      <c r="L206" s="340">
        <v>9499.99</v>
      </c>
      <c r="M206" s="340"/>
      <c r="N206" s="340"/>
      <c r="O206" s="340">
        <f t="shared" si="26"/>
        <v>9499.99</v>
      </c>
      <c r="P206" s="309"/>
      <c r="Q206" s="309"/>
      <c r="R206" s="309"/>
      <c r="S206" s="309"/>
    </row>
    <row r="207" spans="1:19" x14ac:dyDescent="0.25">
      <c r="A207" s="309"/>
      <c r="B207" s="309"/>
      <c r="C207" s="127"/>
      <c r="D207" s="127"/>
      <c r="E207" s="127">
        <v>22</v>
      </c>
      <c r="F207" s="339" t="s">
        <v>712</v>
      </c>
      <c r="G207" s="340">
        <v>0</v>
      </c>
      <c r="H207" s="340">
        <v>0</v>
      </c>
      <c r="I207" s="340">
        <v>0</v>
      </c>
      <c r="J207" s="340">
        <f t="shared" si="25"/>
        <v>0</v>
      </c>
      <c r="K207" s="340"/>
      <c r="L207" s="340">
        <v>0</v>
      </c>
      <c r="M207" s="340"/>
      <c r="N207" s="340"/>
      <c r="O207" s="340">
        <f t="shared" si="26"/>
        <v>0</v>
      </c>
      <c r="P207" s="309"/>
      <c r="Q207" s="309"/>
      <c r="R207" s="309"/>
      <c r="S207" s="309"/>
    </row>
    <row r="208" spans="1:19" x14ac:dyDescent="0.25">
      <c r="A208" s="309"/>
      <c r="B208" s="309"/>
      <c r="C208" s="127"/>
      <c r="D208" s="127"/>
      <c r="E208" s="127">
        <v>23</v>
      </c>
      <c r="F208" s="339" t="s">
        <v>713</v>
      </c>
      <c r="G208" s="340">
        <v>2900</v>
      </c>
      <c r="H208" s="340">
        <v>0</v>
      </c>
      <c r="I208" s="340">
        <v>0</v>
      </c>
      <c r="J208" s="340">
        <f t="shared" si="25"/>
        <v>2900</v>
      </c>
      <c r="K208" s="340"/>
      <c r="L208" s="340">
        <v>2900</v>
      </c>
      <c r="M208" s="340"/>
      <c r="N208" s="340"/>
      <c r="O208" s="340">
        <f t="shared" si="26"/>
        <v>2900</v>
      </c>
      <c r="P208" s="341">
        <f>SUM(O186:O208)</f>
        <v>150351.75</v>
      </c>
      <c r="Q208" s="309"/>
      <c r="R208" s="309"/>
      <c r="S208" s="309"/>
    </row>
    <row r="209" spans="1:19" x14ac:dyDescent="0.25">
      <c r="A209" s="338">
        <v>1</v>
      </c>
      <c r="B209" s="338">
        <v>2</v>
      </c>
      <c r="C209" s="127">
        <v>4</v>
      </c>
      <c r="D209" s="127">
        <v>7</v>
      </c>
      <c r="E209" s="127"/>
      <c r="F209" s="127" t="s">
        <v>300</v>
      </c>
      <c r="G209" s="127"/>
      <c r="H209" s="127"/>
      <c r="I209" s="127"/>
      <c r="J209" s="127"/>
      <c r="K209" s="127"/>
      <c r="L209" s="127"/>
      <c r="M209" s="127"/>
      <c r="N209" s="127"/>
      <c r="O209" s="127"/>
      <c r="P209" s="309"/>
      <c r="Q209" s="309"/>
      <c r="R209" s="309"/>
      <c r="S209" s="309"/>
    </row>
    <row r="210" spans="1:19" x14ac:dyDescent="0.25">
      <c r="A210" s="338">
        <v>1</v>
      </c>
      <c r="B210" s="338">
        <v>2</v>
      </c>
      <c r="C210" s="127">
        <v>4</v>
      </c>
      <c r="D210" s="127">
        <v>8</v>
      </c>
      <c r="E210" s="127"/>
      <c r="F210" s="127" t="s">
        <v>301</v>
      </c>
      <c r="G210" s="127"/>
      <c r="H210" s="127"/>
      <c r="I210" s="127"/>
      <c r="J210" s="127"/>
      <c r="K210" s="127"/>
      <c r="L210" s="127"/>
      <c r="M210" s="127"/>
      <c r="N210" s="127"/>
      <c r="O210" s="127"/>
      <c r="P210" s="309"/>
      <c r="Q210" s="309"/>
      <c r="R210" s="309"/>
      <c r="S210" s="309"/>
    </row>
    <row r="211" spans="1:19" x14ac:dyDescent="0.25">
      <c r="A211" s="338">
        <v>1</v>
      </c>
      <c r="B211" s="338">
        <v>2</v>
      </c>
      <c r="C211" s="127">
        <v>5</v>
      </c>
      <c r="D211" s="127"/>
      <c r="E211" s="127"/>
      <c r="F211" s="127" t="s">
        <v>126</v>
      </c>
      <c r="G211" s="140">
        <f>+G212+G218+G219+G220+G221</f>
        <v>30712.080000000002</v>
      </c>
      <c r="H211" s="140">
        <f t="shared" ref="H211:O211" si="27">+H212+H218+H219+H220+H221</f>
        <v>0</v>
      </c>
      <c r="I211" s="140">
        <f t="shared" si="27"/>
        <v>0</v>
      </c>
      <c r="J211" s="140">
        <f t="shared" si="27"/>
        <v>30712.080000000002</v>
      </c>
      <c r="K211" s="140"/>
      <c r="L211" s="140">
        <f>+L212+L218+L219+L220+L221</f>
        <v>30711.08</v>
      </c>
      <c r="M211" s="140"/>
      <c r="N211" s="140"/>
      <c r="O211" s="140">
        <f t="shared" si="27"/>
        <v>30711.08</v>
      </c>
      <c r="P211" s="309"/>
      <c r="Q211" s="309"/>
      <c r="R211" s="309"/>
      <c r="S211" s="309"/>
    </row>
    <row r="212" spans="1:19" x14ac:dyDescent="0.25">
      <c r="A212" s="338">
        <v>1</v>
      </c>
      <c r="B212" s="338">
        <v>2</v>
      </c>
      <c r="C212" s="127">
        <v>5</v>
      </c>
      <c r="D212" s="127">
        <v>1</v>
      </c>
      <c r="E212" s="127"/>
      <c r="F212" s="127" t="s">
        <v>302</v>
      </c>
      <c r="G212" s="466">
        <f t="shared" ref="G212:I212" si="28">SUM(G213:G217)</f>
        <v>30712.080000000002</v>
      </c>
      <c r="H212" s="466">
        <f t="shared" si="28"/>
        <v>0</v>
      </c>
      <c r="I212" s="466">
        <f t="shared" si="28"/>
        <v>0</v>
      </c>
      <c r="J212" s="466">
        <f>SUM(J213:J217)</f>
        <v>30712.080000000002</v>
      </c>
      <c r="K212" s="466"/>
      <c r="L212" s="466">
        <f t="shared" ref="L212" si="29">SUM(L213:L217)</f>
        <v>30711.08</v>
      </c>
      <c r="M212" s="466"/>
      <c r="N212" s="466"/>
      <c r="O212" s="466">
        <f t="shared" ref="O212" si="30">SUM(O213:O217)</f>
        <v>30711.08</v>
      </c>
      <c r="P212" s="309"/>
      <c r="Q212" s="309"/>
      <c r="R212" s="309"/>
      <c r="S212" s="309"/>
    </row>
    <row r="213" spans="1:19" x14ac:dyDescent="0.25">
      <c r="A213" s="338"/>
      <c r="B213" s="338"/>
      <c r="C213" s="127"/>
      <c r="D213" s="127"/>
      <c r="E213" s="127">
        <v>1</v>
      </c>
      <c r="F213" s="339" t="s">
        <v>701</v>
      </c>
      <c r="G213" s="340">
        <f>4988+1</f>
        <v>4989</v>
      </c>
      <c r="H213" s="340">
        <v>0</v>
      </c>
      <c r="I213" s="340">
        <v>0</v>
      </c>
      <c r="J213" s="340">
        <f t="shared" ref="J213:J217" si="31">+G213+H213-I213</f>
        <v>4989</v>
      </c>
      <c r="K213" s="340"/>
      <c r="L213" s="340">
        <v>4988</v>
      </c>
      <c r="M213" s="340"/>
      <c r="N213" s="340"/>
      <c r="O213" s="340">
        <f t="shared" ref="O213:O217" si="32">+L213+M213-N213</f>
        <v>4988</v>
      </c>
      <c r="P213" s="309"/>
      <c r="Q213" s="309"/>
      <c r="R213" s="309"/>
      <c r="S213" s="309"/>
    </row>
    <row r="214" spans="1:19" x14ac:dyDescent="0.25">
      <c r="A214" s="338"/>
      <c r="B214" s="338"/>
      <c r="C214" s="127"/>
      <c r="D214" s="127"/>
      <c r="E214" s="127">
        <v>2</v>
      </c>
      <c r="F214" s="339" t="s">
        <v>702</v>
      </c>
      <c r="G214" s="340">
        <v>1199</v>
      </c>
      <c r="H214" s="340">
        <v>0</v>
      </c>
      <c r="I214" s="340">
        <v>0</v>
      </c>
      <c r="J214" s="340">
        <f t="shared" si="31"/>
        <v>1199</v>
      </c>
      <c r="K214" s="340"/>
      <c r="L214" s="340">
        <v>1199</v>
      </c>
      <c r="M214" s="340"/>
      <c r="N214" s="340"/>
      <c r="O214" s="340">
        <f t="shared" si="32"/>
        <v>1199</v>
      </c>
      <c r="P214" s="309"/>
      <c r="Q214" s="309"/>
      <c r="R214" s="309"/>
      <c r="S214" s="309"/>
    </row>
    <row r="215" spans="1:19" x14ac:dyDescent="0.25">
      <c r="A215" s="338"/>
      <c r="B215" s="338"/>
      <c r="C215" s="127"/>
      <c r="D215" s="127"/>
      <c r="E215" s="127">
        <v>3</v>
      </c>
      <c r="F215" s="339" t="s">
        <v>703</v>
      </c>
      <c r="G215" s="340">
        <v>1500</v>
      </c>
      <c r="H215" s="340">
        <v>0</v>
      </c>
      <c r="I215" s="340">
        <v>0</v>
      </c>
      <c r="J215" s="340">
        <f t="shared" si="31"/>
        <v>1500</v>
      </c>
      <c r="K215" s="340"/>
      <c r="L215" s="340">
        <v>1500</v>
      </c>
      <c r="M215" s="340"/>
      <c r="N215" s="340"/>
      <c r="O215" s="340">
        <f t="shared" si="32"/>
        <v>1500</v>
      </c>
      <c r="P215" s="309"/>
      <c r="Q215" s="309"/>
      <c r="R215" s="309"/>
      <c r="S215" s="309"/>
    </row>
    <row r="216" spans="1:19" x14ac:dyDescent="0.25">
      <c r="A216" s="338"/>
      <c r="B216" s="338"/>
      <c r="C216" s="127"/>
      <c r="D216" s="127"/>
      <c r="E216" s="127">
        <v>4</v>
      </c>
      <c r="F216" s="339" t="s">
        <v>704</v>
      </c>
      <c r="G216" s="340">
        <v>17963</v>
      </c>
      <c r="H216" s="340">
        <v>0</v>
      </c>
      <c r="I216" s="340">
        <v>0</v>
      </c>
      <c r="J216" s="340">
        <f t="shared" si="31"/>
        <v>17963</v>
      </c>
      <c r="K216" s="340"/>
      <c r="L216" s="340">
        <v>17963</v>
      </c>
      <c r="M216" s="340"/>
      <c r="N216" s="340"/>
      <c r="O216" s="340">
        <f t="shared" si="32"/>
        <v>17963</v>
      </c>
      <c r="P216" s="309"/>
      <c r="Q216" s="309"/>
      <c r="R216" s="309"/>
      <c r="S216" s="309"/>
    </row>
    <row r="217" spans="1:19" x14ac:dyDescent="0.25">
      <c r="A217" s="338"/>
      <c r="B217" s="338"/>
      <c r="C217" s="127"/>
      <c r="D217" s="127"/>
      <c r="E217" s="127">
        <v>5</v>
      </c>
      <c r="F217" s="339" t="s">
        <v>722</v>
      </c>
      <c r="G217" s="340">
        <v>5061.08</v>
      </c>
      <c r="H217" s="340">
        <v>0</v>
      </c>
      <c r="I217" s="340">
        <v>0</v>
      </c>
      <c r="J217" s="340">
        <f t="shared" si="31"/>
        <v>5061.08</v>
      </c>
      <c r="K217" s="340"/>
      <c r="L217" s="340">
        <v>5061.08</v>
      </c>
      <c r="M217" s="340"/>
      <c r="N217" s="340"/>
      <c r="O217" s="340">
        <f t="shared" si="32"/>
        <v>5061.08</v>
      </c>
      <c r="P217" s="309"/>
      <c r="Q217" s="309"/>
      <c r="R217" s="309"/>
      <c r="S217" s="309"/>
    </row>
    <row r="218" spans="1:19" x14ac:dyDescent="0.25">
      <c r="A218" s="338">
        <v>1</v>
      </c>
      <c r="B218" s="338">
        <v>2</v>
      </c>
      <c r="C218" s="127">
        <v>5</v>
      </c>
      <c r="D218" s="127">
        <v>2</v>
      </c>
      <c r="E218" s="127"/>
      <c r="F218" s="127" t="s">
        <v>303</v>
      </c>
      <c r="G218" s="127"/>
      <c r="H218" s="127"/>
      <c r="I218" s="127"/>
      <c r="J218" s="127"/>
      <c r="K218" s="127"/>
      <c r="L218" s="127"/>
      <c r="M218" s="127"/>
      <c r="N218" s="127"/>
      <c r="O218" s="127"/>
      <c r="P218" s="309"/>
      <c r="Q218" s="309"/>
      <c r="R218" s="309"/>
      <c r="S218" s="309"/>
    </row>
    <row r="219" spans="1:19" x14ac:dyDescent="0.25">
      <c r="A219" s="338">
        <v>1</v>
      </c>
      <c r="B219" s="338">
        <v>2</v>
      </c>
      <c r="C219" s="127">
        <v>5</v>
      </c>
      <c r="D219" s="127">
        <v>3</v>
      </c>
      <c r="E219" s="127"/>
      <c r="F219" s="127" t="s">
        <v>304</v>
      </c>
      <c r="G219" s="127"/>
      <c r="H219" s="127"/>
      <c r="I219" s="127"/>
      <c r="J219" s="127"/>
      <c r="K219" s="127"/>
      <c r="L219" s="127"/>
      <c r="M219" s="127"/>
      <c r="N219" s="127"/>
      <c r="O219" s="127"/>
      <c r="P219" s="309"/>
      <c r="Q219" s="309"/>
      <c r="R219" s="309"/>
      <c r="S219" s="309"/>
    </row>
    <row r="220" spans="1:19" x14ac:dyDescent="0.25">
      <c r="A220" s="338">
        <v>1</v>
      </c>
      <c r="B220" s="338">
        <v>2</v>
      </c>
      <c r="C220" s="127">
        <v>5</v>
      </c>
      <c r="D220" s="127">
        <v>4</v>
      </c>
      <c r="E220" s="127"/>
      <c r="F220" s="127" t="s">
        <v>305</v>
      </c>
      <c r="G220" s="127"/>
      <c r="H220" s="127"/>
      <c r="I220" s="127"/>
      <c r="J220" s="133"/>
      <c r="K220" s="133"/>
      <c r="L220" s="127"/>
      <c r="M220" s="133"/>
      <c r="N220" s="133"/>
      <c r="O220" s="133"/>
      <c r="P220" s="309"/>
      <c r="Q220" s="309"/>
      <c r="R220" s="309"/>
      <c r="S220" s="309"/>
    </row>
    <row r="221" spans="1:19" x14ac:dyDescent="0.25">
      <c r="A221" s="338">
        <v>1</v>
      </c>
      <c r="B221" s="338">
        <v>2</v>
      </c>
      <c r="C221" s="127">
        <v>5</v>
      </c>
      <c r="D221" s="127">
        <v>9</v>
      </c>
      <c r="E221" s="127"/>
      <c r="F221" s="127" t="s">
        <v>306</v>
      </c>
      <c r="G221" s="127"/>
      <c r="H221" s="127"/>
      <c r="I221" s="127"/>
      <c r="J221" s="133"/>
      <c r="K221" s="133"/>
      <c r="L221" s="127"/>
      <c r="M221" s="133"/>
      <c r="N221" s="133"/>
      <c r="O221" s="133"/>
      <c r="P221" s="309"/>
      <c r="Q221" s="309"/>
      <c r="R221" s="309"/>
      <c r="S221" s="309"/>
    </row>
    <row r="222" spans="1:19" ht="24" x14ac:dyDescent="0.25">
      <c r="A222" s="342">
        <v>1</v>
      </c>
      <c r="B222" s="342">
        <v>2</v>
      </c>
      <c r="C222" s="127">
        <v>6</v>
      </c>
      <c r="D222" s="127"/>
      <c r="E222" s="127"/>
      <c r="F222" s="127" t="s">
        <v>128</v>
      </c>
      <c r="G222" s="127"/>
      <c r="H222" s="127"/>
      <c r="I222" s="127"/>
      <c r="J222" s="127"/>
      <c r="K222" s="127"/>
      <c r="L222" s="127"/>
      <c r="M222" s="127"/>
      <c r="N222" s="127"/>
      <c r="O222" s="127"/>
      <c r="P222" s="309"/>
      <c r="Q222" s="309"/>
      <c r="R222" s="309"/>
      <c r="S222" s="309"/>
    </row>
    <row r="223" spans="1:19" x14ac:dyDescent="0.25">
      <c r="A223" s="338">
        <v>1</v>
      </c>
      <c r="B223" s="338">
        <v>2</v>
      </c>
      <c r="C223" s="127">
        <v>6</v>
      </c>
      <c r="D223" s="127">
        <v>1</v>
      </c>
      <c r="E223" s="127"/>
      <c r="F223" s="127" t="s">
        <v>307</v>
      </c>
      <c r="G223" s="127"/>
      <c r="H223" s="127"/>
      <c r="I223" s="127"/>
      <c r="J223" s="127"/>
      <c r="K223" s="127"/>
      <c r="L223" s="127"/>
      <c r="M223" s="127"/>
      <c r="N223" s="127"/>
      <c r="O223" s="127"/>
      <c r="P223" s="309"/>
      <c r="Q223" s="309"/>
      <c r="R223" s="309"/>
      <c r="S223" s="309"/>
    </row>
    <row r="224" spans="1:19" x14ac:dyDescent="0.25">
      <c r="A224" s="338">
        <v>1</v>
      </c>
      <c r="B224" s="338">
        <v>2</v>
      </c>
      <c r="C224" s="127">
        <v>6</v>
      </c>
      <c r="D224" s="127">
        <v>2</v>
      </c>
      <c r="E224" s="127"/>
      <c r="F224" s="127" t="s">
        <v>308</v>
      </c>
      <c r="G224" s="127"/>
      <c r="H224" s="127"/>
      <c r="I224" s="127"/>
      <c r="J224" s="127"/>
      <c r="K224" s="127"/>
      <c r="L224" s="127"/>
      <c r="M224" s="127"/>
      <c r="N224" s="127"/>
      <c r="O224" s="127"/>
      <c r="P224" s="309"/>
      <c r="Q224" s="309"/>
      <c r="R224" s="309"/>
      <c r="S224" s="309"/>
    </row>
    <row r="225" spans="1:19" x14ac:dyDescent="0.25">
      <c r="A225" s="338">
        <v>1</v>
      </c>
      <c r="B225" s="338">
        <v>2</v>
      </c>
      <c r="C225" s="127">
        <v>6</v>
      </c>
      <c r="D225" s="127">
        <v>3</v>
      </c>
      <c r="E225" s="127"/>
      <c r="F225" s="127" t="s">
        <v>309</v>
      </c>
      <c r="G225" s="127"/>
      <c r="H225" s="127"/>
      <c r="I225" s="127"/>
      <c r="J225" s="127"/>
      <c r="K225" s="127"/>
      <c r="L225" s="127"/>
      <c r="M225" s="127"/>
      <c r="N225" s="127"/>
      <c r="O225" s="127"/>
      <c r="P225" s="309"/>
      <c r="Q225" s="309"/>
      <c r="R225" s="309"/>
      <c r="S225" s="309"/>
    </row>
    <row r="226" spans="1:19" x14ac:dyDescent="0.25">
      <c r="A226" s="338">
        <v>1</v>
      </c>
      <c r="B226" s="338">
        <v>2</v>
      </c>
      <c r="C226" s="127">
        <v>6</v>
      </c>
      <c r="D226" s="127">
        <v>4</v>
      </c>
      <c r="E226" s="127"/>
      <c r="F226" s="127" t="s">
        <v>310</v>
      </c>
      <c r="G226" s="127"/>
      <c r="H226" s="127"/>
      <c r="I226" s="127"/>
      <c r="J226" s="127"/>
      <c r="K226" s="127"/>
      <c r="L226" s="127"/>
      <c r="M226" s="127"/>
      <c r="N226" s="127"/>
      <c r="O226" s="127"/>
      <c r="P226" s="309"/>
      <c r="Q226" s="309"/>
      <c r="R226" s="309"/>
      <c r="S226" s="309"/>
    </row>
    <row r="227" spans="1:19" x14ac:dyDescent="0.25">
      <c r="A227" s="127">
        <v>1</v>
      </c>
      <c r="B227" s="127">
        <v>2</v>
      </c>
      <c r="C227" s="127">
        <v>6</v>
      </c>
      <c r="D227" s="127">
        <v>5</v>
      </c>
      <c r="E227" s="127"/>
      <c r="F227" s="127" t="s">
        <v>311</v>
      </c>
      <c r="G227" s="127"/>
      <c r="H227" s="127"/>
      <c r="I227" s="127"/>
      <c r="J227" s="129"/>
      <c r="K227" s="129"/>
      <c r="L227" s="127"/>
      <c r="M227" s="129"/>
      <c r="N227" s="129"/>
      <c r="O227" s="129"/>
      <c r="P227" s="309"/>
      <c r="Q227" s="309"/>
      <c r="R227" s="309"/>
      <c r="S227" s="309"/>
    </row>
    <row r="228" spans="1:19" x14ac:dyDescent="0.25">
      <c r="A228" s="127">
        <v>1</v>
      </c>
      <c r="B228" s="127">
        <v>2</v>
      </c>
      <c r="C228" s="127">
        <v>7</v>
      </c>
      <c r="D228" s="127"/>
      <c r="E228" s="127"/>
      <c r="F228" s="128" t="s">
        <v>130</v>
      </c>
      <c r="G228" s="141">
        <f>SUM(G229:G234)</f>
        <v>15000</v>
      </c>
      <c r="H228" s="141">
        <f t="shared" ref="H228:O228" si="33">SUM(H229:H234)</f>
        <v>0</v>
      </c>
      <c r="I228" s="141">
        <f t="shared" si="33"/>
        <v>0</v>
      </c>
      <c r="J228" s="141">
        <f t="shared" si="33"/>
        <v>15000</v>
      </c>
      <c r="K228" s="141"/>
      <c r="L228" s="141">
        <f>SUM(L229:L234)</f>
        <v>15000</v>
      </c>
      <c r="M228" s="141"/>
      <c r="N228" s="141"/>
      <c r="O228" s="141">
        <f t="shared" si="33"/>
        <v>15000</v>
      </c>
      <c r="P228" s="309"/>
      <c r="Q228" s="309"/>
      <c r="R228" s="309"/>
      <c r="S228" s="309"/>
    </row>
    <row r="229" spans="1:19" x14ac:dyDescent="0.25">
      <c r="A229" s="127">
        <v>1</v>
      </c>
      <c r="B229" s="127">
        <v>2</v>
      </c>
      <c r="C229" s="127">
        <v>7</v>
      </c>
      <c r="D229" s="127">
        <v>1</v>
      </c>
      <c r="E229" s="127"/>
      <c r="F229" s="127" t="s">
        <v>312</v>
      </c>
      <c r="G229" s="127"/>
      <c r="H229" s="127"/>
      <c r="I229" s="127"/>
      <c r="J229" s="129"/>
      <c r="K229" s="129"/>
      <c r="L229" s="127"/>
      <c r="M229" s="129"/>
      <c r="N229" s="129"/>
      <c r="O229" s="129"/>
      <c r="P229" s="309"/>
      <c r="Q229" s="309"/>
      <c r="R229" s="309"/>
      <c r="S229" s="309"/>
    </row>
    <row r="230" spans="1:19" ht="24" x14ac:dyDescent="0.25">
      <c r="A230" s="127">
        <v>1</v>
      </c>
      <c r="B230" s="127">
        <v>2</v>
      </c>
      <c r="C230" s="127">
        <v>7</v>
      </c>
      <c r="D230" s="127">
        <v>2</v>
      </c>
      <c r="E230" s="127"/>
      <c r="F230" s="127" t="s">
        <v>313</v>
      </c>
      <c r="G230" s="127"/>
      <c r="H230" s="127"/>
      <c r="I230" s="127"/>
      <c r="J230" s="129"/>
      <c r="K230" s="129"/>
      <c r="L230" s="127"/>
      <c r="M230" s="129"/>
      <c r="N230" s="129"/>
      <c r="O230" s="129"/>
      <c r="P230" s="309"/>
      <c r="Q230" s="309"/>
      <c r="R230" s="309"/>
      <c r="S230" s="309"/>
    </row>
    <row r="231" spans="1:19" x14ac:dyDescent="0.25">
      <c r="A231" s="127">
        <v>1</v>
      </c>
      <c r="B231" s="127">
        <v>2</v>
      </c>
      <c r="C231" s="127">
        <v>7</v>
      </c>
      <c r="D231" s="127">
        <v>3</v>
      </c>
      <c r="E231" s="127"/>
      <c r="F231" s="127" t="s">
        <v>314</v>
      </c>
      <c r="G231" s="127"/>
      <c r="H231" s="127"/>
      <c r="I231" s="127"/>
      <c r="J231" s="129"/>
      <c r="K231" s="129"/>
      <c r="L231" s="127"/>
      <c r="M231" s="129"/>
      <c r="N231" s="129"/>
      <c r="O231" s="129"/>
      <c r="P231" s="309"/>
      <c r="Q231" s="309"/>
      <c r="R231" s="309"/>
      <c r="S231" s="309"/>
    </row>
    <row r="232" spans="1:19" x14ac:dyDescent="0.25">
      <c r="A232" s="127">
        <v>1</v>
      </c>
      <c r="B232" s="127">
        <v>2</v>
      </c>
      <c r="C232" s="127">
        <v>7</v>
      </c>
      <c r="D232" s="127">
        <v>4</v>
      </c>
      <c r="E232" s="127"/>
      <c r="F232" s="127" t="s">
        <v>315</v>
      </c>
      <c r="G232" s="127"/>
      <c r="H232" s="127"/>
      <c r="I232" s="127"/>
      <c r="J232" s="129"/>
      <c r="K232" s="129"/>
      <c r="L232" s="127"/>
      <c r="M232" s="129"/>
      <c r="N232" s="129"/>
      <c r="O232" s="129"/>
      <c r="P232" s="309"/>
      <c r="Q232" s="309"/>
      <c r="R232" s="309"/>
      <c r="S232" s="309"/>
    </row>
    <row r="233" spans="1:19" ht="24" x14ac:dyDescent="0.25">
      <c r="A233" s="127">
        <v>1</v>
      </c>
      <c r="B233" s="127">
        <v>2</v>
      </c>
      <c r="C233" s="127">
        <v>7</v>
      </c>
      <c r="D233" s="127">
        <v>5</v>
      </c>
      <c r="E233" s="127"/>
      <c r="F233" s="127" t="s">
        <v>316</v>
      </c>
      <c r="G233" s="127"/>
      <c r="H233" s="127"/>
      <c r="I233" s="127"/>
      <c r="J233" s="129"/>
      <c r="K233" s="129"/>
      <c r="L233" s="127"/>
      <c r="M233" s="129"/>
      <c r="N233" s="129"/>
      <c r="O233" s="129"/>
      <c r="P233" s="309"/>
      <c r="Q233" s="309"/>
      <c r="R233" s="309"/>
      <c r="S233" s="309"/>
    </row>
    <row r="234" spans="1:19" x14ac:dyDescent="0.25">
      <c r="A234" s="127">
        <v>1</v>
      </c>
      <c r="B234" s="127">
        <v>2</v>
      </c>
      <c r="C234" s="127">
        <v>7</v>
      </c>
      <c r="D234" s="127">
        <v>9</v>
      </c>
      <c r="E234" s="127"/>
      <c r="F234" s="127" t="s">
        <v>317</v>
      </c>
      <c r="G234" s="134">
        <f t="shared" ref="G234:I234" si="34">+G235</f>
        <v>15000</v>
      </c>
      <c r="H234" s="134">
        <f t="shared" si="34"/>
        <v>0</v>
      </c>
      <c r="I234" s="134">
        <f t="shared" si="34"/>
        <v>0</v>
      </c>
      <c r="J234" s="134">
        <f>+J235</f>
        <v>15000</v>
      </c>
      <c r="K234" s="134"/>
      <c r="L234" s="134">
        <f t="shared" ref="L234" si="35">+L235</f>
        <v>15000</v>
      </c>
      <c r="M234" s="134"/>
      <c r="N234" s="134"/>
      <c r="O234" s="134">
        <f>+O235</f>
        <v>15000</v>
      </c>
      <c r="P234" s="309"/>
      <c r="Q234" s="309"/>
      <c r="R234" s="309"/>
      <c r="S234" s="309"/>
    </row>
    <row r="235" spans="1:19" x14ac:dyDescent="0.25">
      <c r="A235" s="127"/>
      <c r="B235" s="127"/>
      <c r="C235" s="127"/>
      <c r="D235" s="127"/>
      <c r="E235" s="127"/>
      <c r="F235" s="339" t="s">
        <v>705</v>
      </c>
      <c r="G235" s="343">
        <v>15000</v>
      </c>
      <c r="H235" s="340">
        <v>0</v>
      </c>
      <c r="I235" s="340">
        <v>0</v>
      </c>
      <c r="J235" s="340">
        <f t="shared" ref="J235" si="36">+G235+H235-I235</f>
        <v>15000</v>
      </c>
      <c r="K235" s="340"/>
      <c r="L235" s="343">
        <v>15000</v>
      </c>
      <c r="M235" s="340"/>
      <c r="N235" s="340"/>
      <c r="O235" s="340">
        <f t="shared" ref="O235" si="37">+L235+M235-N235</f>
        <v>15000</v>
      </c>
      <c r="P235" s="309"/>
      <c r="Q235" s="309"/>
      <c r="R235" s="309"/>
      <c r="S235" s="309"/>
    </row>
    <row r="236" spans="1:19" ht="24" x14ac:dyDescent="0.25">
      <c r="A236" s="127">
        <v>1</v>
      </c>
      <c r="B236" s="127">
        <v>2</v>
      </c>
      <c r="C236" s="127">
        <v>8</v>
      </c>
      <c r="D236" s="127"/>
      <c r="E236" s="127"/>
      <c r="F236" s="128" t="s">
        <v>131</v>
      </c>
      <c r="G236" s="128"/>
      <c r="H236" s="128"/>
      <c r="I236" s="128"/>
      <c r="J236" s="129"/>
      <c r="K236" s="129"/>
      <c r="L236" s="128"/>
      <c r="M236" s="129"/>
      <c r="N236" s="129"/>
      <c r="O236" s="129"/>
      <c r="P236" s="309"/>
      <c r="Q236" s="309"/>
      <c r="R236" s="309"/>
      <c r="S236" s="309"/>
    </row>
    <row r="237" spans="1:19" ht="24" x14ac:dyDescent="0.25">
      <c r="A237" s="127">
        <v>1</v>
      </c>
      <c r="B237" s="127">
        <v>2</v>
      </c>
      <c r="C237" s="127">
        <v>8</v>
      </c>
      <c r="D237" s="127">
        <v>1</v>
      </c>
      <c r="E237" s="127"/>
      <c r="F237" s="127" t="s">
        <v>318</v>
      </c>
      <c r="G237" s="127"/>
      <c r="H237" s="127"/>
      <c r="I237" s="127"/>
      <c r="J237" s="129"/>
      <c r="K237" s="129"/>
      <c r="L237" s="127"/>
      <c r="M237" s="129"/>
      <c r="N237" s="129"/>
      <c r="O237" s="129"/>
      <c r="P237" s="309"/>
      <c r="Q237" s="309"/>
      <c r="R237" s="309"/>
      <c r="S237" s="309"/>
    </row>
    <row r="238" spans="1:19" ht="24" x14ac:dyDescent="0.25">
      <c r="A238" s="127">
        <v>1</v>
      </c>
      <c r="B238" s="127">
        <v>2</v>
      </c>
      <c r="C238" s="127">
        <v>8</v>
      </c>
      <c r="D238" s="127">
        <v>2</v>
      </c>
      <c r="E238" s="127"/>
      <c r="F238" s="127" t="s">
        <v>319</v>
      </c>
      <c r="G238" s="127"/>
      <c r="H238" s="127"/>
      <c r="I238" s="127"/>
      <c r="J238" s="129"/>
      <c r="K238" s="129"/>
      <c r="L238" s="127"/>
      <c r="M238" s="129"/>
      <c r="N238" s="129"/>
      <c r="O238" s="129"/>
      <c r="P238" s="309"/>
      <c r="Q238" s="309"/>
      <c r="R238" s="309"/>
      <c r="S238" s="309"/>
    </row>
    <row r="239" spans="1:19" ht="24" x14ac:dyDescent="0.25">
      <c r="A239" s="127">
        <v>1</v>
      </c>
      <c r="B239" s="127">
        <v>2</v>
      </c>
      <c r="C239" s="127">
        <v>8</v>
      </c>
      <c r="D239" s="127">
        <v>3</v>
      </c>
      <c r="E239" s="127"/>
      <c r="F239" s="127" t="s">
        <v>320</v>
      </c>
      <c r="G239" s="127"/>
      <c r="H239" s="127"/>
      <c r="I239" s="127"/>
      <c r="J239" s="129"/>
      <c r="K239" s="129"/>
      <c r="L239" s="127"/>
      <c r="M239" s="129"/>
      <c r="N239" s="129"/>
      <c r="O239" s="129"/>
      <c r="P239" s="309"/>
      <c r="Q239" s="309"/>
      <c r="R239" s="309"/>
      <c r="S239" s="309"/>
    </row>
    <row r="240" spans="1:19" ht="24" x14ac:dyDescent="0.25">
      <c r="A240" s="127">
        <v>1</v>
      </c>
      <c r="B240" s="127">
        <v>2</v>
      </c>
      <c r="C240" s="127">
        <v>8</v>
      </c>
      <c r="D240" s="127">
        <v>4</v>
      </c>
      <c r="E240" s="127"/>
      <c r="F240" s="127" t="s">
        <v>321</v>
      </c>
      <c r="G240" s="127"/>
      <c r="H240" s="127"/>
      <c r="I240" s="127"/>
      <c r="J240" s="129"/>
      <c r="K240" s="129"/>
      <c r="L240" s="127"/>
      <c r="M240" s="129"/>
      <c r="N240" s="129"/>
      <c r="O240" s="129"/>
      <c r="P240" s="309"/>
      <c r="Q240" s="309"/>
      <c r="R240" s="309"/>
      <c r="S240" s="309"/>
    </row>
    <row r="241" spans="1:19" ht="24" x14ac:dyDescent="0.25">
      <c r="A241" s="127">
        <v>1</v>
      </c>
      <c r="B241" s="127">
        <v>2</v>
      </c>
      <c r="C241" s="127">
        <v>8</v>
      </c>
      <c r="D241" s="127">
        <v>9</v>
      </c>
      <c r="E241" s="127"/>
      <c r="F241" s="127" t="s">
        <v>322</v>
      </c>
      <c r="G241" s="127"/>
      <c r="H241" s="127"/>
      <c r="I241" s="127"/>
      <c r="J241" s="129"/>
      <c r="K241" s="129"/>
      <c r="L241" s="127"/>
      <c r="M241" s="129"/>
      <c r="N241" s="129"/>
      <c r="O241" s="129"/>
      <c r="P241" s="309"/>
      <c r="Q241" s="309"/>
      <c r="R241" s="309"/>
      <c r="S241" s="309"/>
    </row>
    <row r="242" spans="1:19" x14ac:dyDescent="0.25">
      <c r="A242" s="127">
        <v>1</v>
      </c>
      <c r="B242" s="127">
        <v>2</v>
      </c>
      <c r="C242" s="127">
        <v>9</v>
      </c>
      <c r="D242" s="127"/>
      <c r="E242" s="127"/>
      <c r="F242" s="128" t="s">
        <v>133</v>
      </c>
      <c r="G242" s="128"/>
      <c r="H242" s="128"/>
      <c r="I242" s="128"/>
      <c r="J242" s="129"/>
      <c r="K242" s="129"/>
      <c r="L242" s="128"/>
      <c r="M242" s="129"/>
      <c r="N242" s="129"/>
      <c r="O242" s="129"/>
      <c r="P242" s="309"/>
      <c r="Q242" s="309"/>
      <c r="R242" s="309"/>
      <c r="S242" s="309"/>
    </row>
    <row r="243" spans="1:19" x14ac:dyDescent="0.25">
      <c r="A243" s="127">
        <v>1</v>
      </c>
      <c r="B243" s="127">
        <v>2</v>
      </c>
      <c r="C243" s="127">
        <v>9</v>
      </c>
      <c r="D243" s="127">
        <v>1</v>
      </c>
      <c r="E243" s="127"/>
      <c r="F243" s="127" t="s">
        <v>323</v>
      </c>
      <c r="G243" s="127"/>
      <c r="H243" s="127"/>
      <c r="I243" s="127"/>
      <c r="J243" s="129"/>
      <c r="K243" s="129"/>
      <c r="L243" s="127"/>
      <c r="M243" s="129"/>
      <c r="N243" s="129"/>
      <c r="O243" s="129"/>
      <c r="P243" s="309"/>
      <c r="Q243" s="309"/>
      <c r="R243" s="309"/>
      <c r="S243" s="309"/>
    </row>
    <row r="244" spans="1:19" x14ac:dyDescent="0.25">
      <c r="A244" s="127">
        <v>1</v>
      </c>
      <c r="B244" s="127">
        <v>2</v>
      </c>
      <c r="C244" s="127">
        <v>9</v>
      </c>
      <c r="D244" s="127">
        <v>2</v>
      </c>
      <c r="E244" s="127"/>
      <c r="F244" s="127" t="s">
        <v>324</v>
      </c>
      <c r="G244" s="127"/>
      <c r="H244" s="127"/>
      <c r="I244" s="127"/>
      <c r="J244" s="129"/>
      <c r="K244" s="129"/>
      <c r="L244" s="127"/>
      <c r="M244" s="129"/>
      <c r="N244" s="129"/>
      <c r="O244" s="129"/>
      <c r="P244" s="309"/>
      <c r="Q244" s="309"/>
      <c r="R244" s="309"/>
      <c r="S244" s="309"/>
    </row>
    <row r="245" spans="1:19" x14ac:dyDescent="0.25">
      <c r="A245" s="127">
        <v>1</v>
      </c>
      <c r="B245" s="127">
        <v>2</v>
      </c>
      <c r="C245" s="127">
        <v>9</v>
      </c>
      <c r="D245" s="127">
        <v>3</v>
      </c>
      <c r="E245" s="127"/>
      <c r="F245" s="127" t="s">
        <v>325</v>
      </c>
      <c r="G245" s="127"/>
      <c r="H245" s="127"/>
      <c r="I245" s="127"/>
      <c r="J245" s="129"/>
      <c r="K245" s="129"/>
      <c r="L245" s="127"/>
      <c r="M245" s="129"/>
      <c r="N245" s="129"/>
      <c r="O245" s="129"/>
      <c r="P245" s="309"/>
      <c r="Q245" s="309"/>
      <c r="R245" s="309"/>
      <c r="S245" s="309"/>
    </row>
    <row r="246" spans="1:19" x14ac:dyDescent="0.25">
      <c r="A246" s="136">
        <v>2</v>
      </c>
      <c r="B246" s="136"/>
      <c r="C246" s="136"/>
      <c r="D246" s="136"/>
      <c r="E246" s="136"/>
      <c r="F246" s="136" t="s">
        <v>1</v>
      </c>
      <c r="G246" s="131">
        <f>+G247+G327</f>
        <v>10061261</v>
      </c>
      <c r="H246" s="131">
        <f>+H247+H327</f>
        <v>12796130</v>
      </c>
      <c r="I246" s="131">
        <f>+I247+I327</f>
        <v>8116341</v>
      </c>
      <c r="J246" s="131">
        <f>+J247+J327</f>
        <v>5381471</v>
      </c>
      <c r="K246" s="131"/>
      <c r="L246" s="131">
        <f>+L247+L327</f>
        <v>6736429</v>
      </c>
      <c r="M246" s="131"/>
      <c r="N246" s="131"/>
      <c r="O246" s="131">
        <f>+O247+O327</f>
        <v>2736429</v>
      </c>
      <c r="P246" s="309"/>
      <c r="Q246" s="309"/>
      <c r="R246" s="309"/>
      <c r="S246" s="309"/>
    </row>
    <row r="247" spans="1:19" x14ac:dyDescent="0.25">
      <c r="A247" s="126">
        <v>2</v>
      </c>
      <c r="B247" s="126">
        <v>1</v>
      </c>
      <c r="C247" s="126"/>
      <c r="D247" s="126"/>
      <c r="E247" s="126"/>
      <c r="F247" s="126" t="s">
        <v>326</v>
      </c>
      <c r="G247" s="129">
        <f>+G248+G290+G294+G298+G301+G305+G319+G323</f>
        <v>10061261</v>
      </c>
      <c r="H247" s="129">
        <f>+H248+H290+H294+H298+H301+H305+H319+H323</f>
        <v>12796130</v>
      </c>
      <c r="I247" s="129">
        <f>+I248+I290+I294+I298+I301+I305+I319+I323</f>
        <v>8116341</v>
      </c>
      <c r="J247" s="129">
        <f>+J248+J290+J294+J298+J301+J305+J319+J323</f>
        <v>5381471</v>
      </c>
      <c r="K247" s="129"/>
      <c r="L247" s="129">
        <f>+L248+L290+L294+L298+L301+L305+L319+L323</f>
        <v>6736429</v>
      </c>
      <c r="M247" s="129"/>
      <c r="N247" s="129"/>
      <c r="O247" s="129">
        <f>+O248+O290+O294+O298+O301+O305+O319+O323</f>
        <v>2736429</v>
      </c>
      <c r="P247" s="309"/>
      <c r="Q247" s="309"/>
      <c r="R247" s="309"/>
      <c r="S247" s="309"/>
    </row>
    <row r="248" spans="1:19" x14ac:dyDescent="0.25">
      <c r="A248" s="132">
        <v>2</v>
      </c>
      <c r="B248" s="132">
        <v>1</v>
      </c>
      <c r="C248" s="132">
        <v>1</v>
      </c>
      <c r="D248" s="132"/>
      <c r="E248" s="132"/>
      <c r="F248" s="135" t="s">
        <v>100</v>
      </c>
      <c r="G248" s="131">
        <f t="shared" ref="G248:I248" si="38">SUM(G249:G257)</f>
        <v>9750399</v>
      </c>
      <c r="H248" s="131">
        <f t="shared" si="38"/>
        <v>12203677</v>
      </c>
      <c r="I248" s="131">
        <f t="shared" si="38"/>
        <v>7670278</v>
      </c>
      <c r="J248" s="131">
        <f>SUM(J249:J257)</f>
        <v>5216999</v>
      </c>
      <c r="K248" s="131"/>
      <c r="L248" s="131">
        <f t="shared" ref="L248" si="39">SUM(L249:L257)</f>
        <v>6457326</v>
      </c>
      <c r="M248" s="131"/>
      <c r="N248" s="131"/>
      <c r="O248" s="131">
        <f t="shared" ref="O248" si="40">SUM(O249:O257)</f>
        <v>2457326</v>
      </c>
      <c r="P248" s="309"/>
      <c r="Q248" s="309"/>
      <c r="R248" s="309"/>
      <c r="S248" s="309"/>
    </row>
    <row r="249" spans="1:19" x14ac:dyDescent="0.25">
      <c r="A249" s="127">
        <v>2</v>
      </c>
      <c r="B249" s="127">
        <v>1</v>
      </c>
      <c r="C249" s="127">
        <v>1</v>
      </c>
      <c r="D249" s="127">
        <v>1</v>
      </c>
      <c r="E249" s="127"/>
      <c r="F249" s="127" t="s">
        <v>327</v>
      </c>
      <c r="G249" s="127"/>
      <c r="H249" s="127"/>
      <c r="I249" s="127"/>
      <c r="J249" s="129"/>
      <c r="K249" s="129"/>
      <c r="L249" s="127"/>
      <c r="M249" s="129"/>
      <c r="N249" s="129"/>
      <c r="O249" s="129"/>
      <c r="P249" s="309"/>
      <c r="Q249" s="309"/>
      <c r="R249" s="309"/>
      <c r="S249" s="309"/>
    </row>
    <row r="250" spans="1:19" x14ac:dyDescent="0.25">
      <c r="A250" s="127">
        <v>2</v>
      </c>
      <c r="B250" s="127">
        <v>1</v>
      </c>
      <c r="C250" s="127">
        <v>1</v>
      </c>
      <c r="D250" s="127">
        <v>2</v>
      </c>
      <c r="E250" s="127"/>
      <c r="F250" s="127" t="s">
        <v>328</v>
      </c>
      <c r="G250" s="127"/>
      <c r="H250" s="127"/>
      <c r="I250" s="127"/>
      <c r="J250" s="129"/>
      <c r="K250" s="129"/>
      <c r="L250" s="127"/>
      <c r="M250" s="129"/>
      <c r="N250" s="129"/>
      <c r="O250" s="129"/>
      <c r="P250" s="309"/>
      <c r="Q250" s="309"/>
      <c r="R250" s="309"/>
      <c r="S250" s="309"/>
    </row>
    <row r="251" spans="1:19" ht="24" x14ac:dyDescent="0.25">
      <c r="A251" s="127">
        <v>2</v>
      </c>
      <c r="B251" s="127">
        <v>1</v>
      </c>
      <c r="C251" s="127">
        <v>1</v>
      </c>
      <c r="D251" s="127">
        <v>3</v>
      </c>
      <c r="E251" s="127"/>
      <c r="F251" s="127" t="s">
        <v>329</v>
      </c>
      <c r="G251" s="127"/>
      <c r="H251" s="127"/>
      <c r="I251" s="127"/>
      <c r="J251" s="129"/>
      <c r="K251" s="129"/>
      <c r="L251" s="127"/>
      <c r="M251" s="129"/>
      <c r="N251" s="129"/>
      <c r="O251" s="129"/>
      <c r="P251" s="309"/>
      <c r="Q251" s="309"/>
      <c r="R251" s="309"/>
      <c r="S251" s="309"/>
    </row>
    <row r="252" spans="1:19" ht="24" x14ac:dyDescent="0.25">
      <c r="A252" s="127">
        <v>2</v>
      </c>
      <c r="B252" s="127">
        <v>1</v>
      </c>
      <c r="C252" s="127">
        <v>1</v>
      </c>
      <c r="D252" s="127">
        <v>4</v>
      </c>
      <c r="E252" s="127"/>
      <c r="F252" s="127" t="s">
        <v>330</v>
      </c>
      <c r="G252" s="127"/>
      <c r="H252" s="127"/>
      <c r="I252" s="127"/>
      <c r="J252" s="129"/>
      <c r="K252" s="129"/>
      <c r="L252" s="127"/>
      <c r="M252" s="129"/>
      <c r="N252" s="129"/>
      <c r="O252" s="129"/>
      <c r="P252" s="309"/>
      <c r="Q252" s="309"/>
      <c r="R252" s="309"/>
      <c r="S252" s="309"/>
    </row>
    <row r="253" spans="1:19" x14ac:dyDescent="0.25">
      <c r="A253" s="127">
        <v>2</v>
      </c>
      <c r="B253" s="127">
        <v>1</v>
      </c>
      <c r="C253" s="127">
        <v>1</v>
      </c>
      <c r="D253" s="127">
        <v>5</v>
      </c>
      <c r="E253" s="127"/>
      <c r="F253" s="127" t="s">
        <v>331</v>
      </c>
      <c r="G253" s="127"/>
      <c r="H253" s="127"/>
      <c r="I253" s="127"/>
      <c r="J253" s="129"/>
      <c r="K253" s="129"/>
      <c r="L253" s="127"/>
      <c r="M253" s="129"/>
      <c r="N253" s="129"/>
      <c r="O253" s="129"/>
      <c r="P253" s="309"/>
      <c r="Q253" s="309"/>
      <c r="R253" s="309"/>
      <c r="S253" s="309"/>
    </row>
    <row r="254" spans="1:19" ht="24" x14ac:dyDescent="0.25">
      <c r="A254" s="127">
        <v>2</v>
      </c>
      <c r="B254" s="127">
        <v>1</v>
      </c>
      <c r="C254" s="127">
        <v>1</v>
      </c>
      <c r="D254" s="127">
        <v>6</v>
      </c>
      <c r="E254" s="127"/>
      <c r="F254" s="127" t="s">
        <v>332</v>
      </c>
      <c r="G254" s="127"/>
      <c r="H254" s="127"/>
      <c r="I254" s="127"/>
      <c r="J254" s="129"/>
      <c r="K254" s="129"/>
      <c r="L254" s="127"/>
      <c r="M254" s="129"/>
      <c r="N254" s="129"/>
      <c r="O254" s="129"/>
      <c r="P254" s="309"/>
      <c r="Q254" s="309"/>
      <c r="R254" s="309"/>
      <c r="S254" s="309"/>
    </row>
    <row r="255" spans="1:19" ht="24" x14ac:dyDescent="0.25">
      <c r="A255" s="127">
        <v>2</v>
      </c>
      <c r="B255" s="127">
        <v>1</v>
      </c>
      <c r="C255" s="127">
        <v>1</v>
      </c>
      <c r="D255" s="127">
        <v>7</v>
      </c>
      <c r="E255" s="127"/>
      <c r="F255" s="127" t="s">
        <v>333</v>
      </c>
      <c r="G255" s="127"/>
      <c r="H255" s="127"/>
      <c r="I255" s="127"/>
      <c r="J255" s="129"/>
      <c r="K255" s="129"/>
      <c r="L255" s="127"/>
      <c r="M255" s="129"/>
      <c r="N255" s="129"/>
      <c r="O255" s="129"/>
      <c r="P255" s="309"/>
      <c r="Q255" s="309"/>
      <c r="R255" s="309"/>
      <c r="S255" s="309"/>
    </row>
    <row r="256" spans="1:19" ht="24" x14ac:dyDescent="0.25">
      <c r="A256" s="127">
        <v>2</v>
      </c>
      <c r="B256" s="127">
        <v>1</v>
      </c>
      <c r="C256" s="127">
        <v>1</v>
      </c>
      <c r="D256" s="127">
        <v>8</v>
      </c>
      <c r="E256" s="127"/>
      <c r="F256" s="127" t="s">
        <v>334</v>
      </c>
      <c r="G256" s="127"/>
      <c r="H256" s="127"/>
      <c r="I256" s="127"/>
      <c r="J256" s="129"/>
      <c r="K256" s="129"/>
      <c r="L256" s="127"/>
      <c r="M256" s="129"/>
      <c r="N256" s="129"/>
      <c r="O256" s="129"/>
      <c r="P256" s="309"/>
      <c r="Q256" s="309"/>
      <c r="R256" s="309"/>
      <c r="S256" s="309"/>
    </row>
    <row r="257" spans="1:19" x14ac:dyDescent="0.25">
      <c r="A257" s="132">
        <v>2</v>
      </c>
      <c r="B257" s="132">
        <v>1</v>
      </c>
      <c r="C257" s="132">
        <v>1</v>
      </c>
      <c r="D257" s="132">
        <v>9</v>
      </c>
      <c r="E257" s="132"/>
      <c r="F257" s="132" t="s">
        <v>335</v>
      </c>
      <c r="G257" s="131">
        <f>SUM(G258:G289)</f>
        <v>9750399</v>
      </c>
      <c r="H257" s="131">
        <f t="shared" ref="H257:J257" si="41">SUM(H258:H289)</f>
        <v>12203677</v>
      </c>
      <c r="I257" s="131">
        <f t="shared" si="41"/>
        <v>7670278</v>
      </c>
      <c r="J257" s="131">
        <f t="shared" si="41"/>
        <v>5216999</v>
      </c>
      <c r="K257" s="131">
        <f>SUM(K258:K284)</f>
        <v>0</v>
      </c>
      <c r="L257" s="131">
        <f>SUM(L258:L288)</f>
        <v>6457326</v>
      </c>
      <c r="M257" s="131"/>
      <c r="N257" s="131"/>
      <c r="O257" s="131">
        <f>SUM(O258:O284)</f>
        <v>2457326</v>
      </c>
      <c r="P257" s="309">
        <v>-1</v>
      </c>
      <c r="Q257" s="309"/>
      <c r="R257" s="309"/>
      <c r="S257" s="309"/>
    </row>
    <row r="258" spans="1:19" x14ac:dyDescent="0.25">
      <c r="A258" s="127"/>
      <c r="B258" s="127"/>
      <c r="C258" s="127"/>
      <c r="D258" s="127"/>
      <c r="E258" s="127">
        <v>1</v>
      </c>
      <c r="F258" s="127" t="s">
        <v>752</v>
      </c>
      <c r="G258" s="144">
        <v>19728</v>
      </c>
      <c r="H258" s="140">
        <v>19728</v>
      </c>
      <c r="I258" s="140"/>
      <c r="J258" s="129">
        <f>+G258+I258-H258</f>
        <v>0</v>
      </c>
      <c r="K258" s="129"/>
      <c r="L258" s="144">
        <v>0</v>
      </c>
      <c r="M258" s="129"/>
      <c r="N258" s="129"/>
      <c r="O258" s="129">
        <f>L258-M258+N258</f>
        <v>0</v>
      </c>
      <c r="P258" s="309"/>
      <c r="Q258" s="309"/>
      <c r="R258" s="309"/>
      <c r="S258" s="309"/>
    </row>
    <row r="259" spans="1:19" x14ac:dyDescent="0.25">
      <c r="A259" s="127"/>
      <c r="B259" s="127"/>
      <c r="C259" s="127"/>
      <c r="D259" s="127"/>
      <c r="E259" s="127">
        <v>2</v>
      </c>
      <c r="F259" s="127" t="s">
        <v>754</v>
      </c>
      <c r="G259" s="140"/>
      <c r="H259" s="140"/>
      <c r="I259" s="140"/>
      <c r="J259" s="129">
        <f t="shared" ref="J259:J288" si="42">+G259+I259-H259</f>
        <v>0</v>
      </c>
      <c r="K259" s="129"/>
      <c r="L259" s="140">
        <v>0</v>
      </c>
      <c r="M259" s="129"/>
      <c r="N259" s="129"/>
      <c r="O259" s="129">
        <f t="shared" ref="O259:O283" si="43">L259-M259+N259</f>
        <v>0</v>
      </c>
      <c r="P259" s="309"/>
      <c r="Q259" s="309"/>
      <c r="R259" s="309"/>
      <c r="S259" s="309"/>
    </row>
    <row r="260" spans="1:19" x14ac:dyDescent="0.25">
      <c r="A260" s="127"/>
      <c r="B260" s="127"/>
      <c r="C260" s="127"/>
      <c r="D260" s="127"/>
      <c r="E260" s="127">
        <v>3</v>
      </c>
      <c r="F260" s="127" t="s">
        <v>723</v>
      </c>
      <c r="G260" s="140"/>
      <c r="H260" s="140"/>
      <c r="I260" s="140"/>
      <c r="J260" s="129">
        <f t="shared" si="42"/>
        <v>0</v>
      </c>
      <c r="K260" s="129"/>
      <c r="L260" s="140">
        <v>0</v>
      </c>
      <c r="M260" s="129"/>
      <c r="N260" s="129"/>
      <c r="O260" s="129">
        <f t="shared" si="43"/>
        <v>0</v>
      </c>
      <c r="P260" s="309"/>
      <c r="Q260" s="309"/>
      <c r="R260" s="309"/>
      <c r="S260" s="309"/>
    </row>
    <row r="261" spans="1:19" x14ac:dyDescent="0.25">
      <c r="A261" s="127"/>
      <c r="B261" s="127"/>
      <c r="C261" s="127"/>
      <c r="D261" s="127"/>
      <c r="E261" s="127">
        <v>4</v>
      </c>
      <c r="F261" s="127" t="s">
        <v>724</v>
      </c>
      <c r="G261" s="140">
        <v>58787</v>
      </c>
      <c r="H261" s="140"/>
      <c r="I261" s="140"/>
      <c r="J261" s="129">
        <f t="shared" si="42"/>
        <v>58787</v>
      </c>
      <c r="K261" s="129"/>
      <c r="L261" s="140">
        <v>58787</v>
      </c>
      <c r="M261" s="129"/>
      <c r="N261" s="129"/>
      <c r="O261" s="129">
        <f t="shared" si="43"/>
        <v>58787</v>
      </c>
      <c r="P261" s="309"/>
      <c r="Q261" s="309"/>
      <c r="R261" s="309"/>
      <c r="S261" s="309"/>
    </row>
    <row r="262" spans="1:19" x14ac:dyDescent="0.25">
      <c r="A262" s="127"/>
      <c r="B262" s="127"/>
      <c r="C262" s="127"/>
      <c r="D262" s="127"/>
      <c r="E262" s="127"/>
      <c r="F262" s="127" t="s">
        <v>617</v>
      </c>
      <c r="G262" s="140">
        <v>1</v>
      </c>
      <c r="H262" s="140"/>
      <c r="I262" s="140"/>
      <c r="J262" s="129">
        <v>0</v>
      </c>
      <c r="K262" s="129"/>
      <c r="L262" s="140"/>
      <c r="M262" s="129"/>
      <c r="N262" s="129"/>
      <c r="O262" s="129"/>
      <c r="P262" s="309"/>
      <c r="Q262" s="309"/>
      <c r="R262" s="309"/>
      <c r="S262" s="309"/>
    </row>
    <row r="263" spans="1:19" x14ac:dyDescent="0.25">
      <c r="A263" s="127"/>
      <c r="B263" s="127"/>
      <c r="C263" s="127"/>
      <c r="D263" s="127"/>
      <c r="E263" s="127"/>
      <c r="F263" s="127" t="s">
        <v>1137</v>
      </c>
      <c r="G263" s="140"/>
      <c r="H263" s="140"/>
      <c r="I263" s="140"/>
      <c r="J263" s="129">
        <f t="shared" si="42"/>
        <v>0</v>
      </c>
      <c r="K263" s="129"/>
      <c r="L263" s="140"/>
      <c r="M263" s="129"/>
      <c r="N263" s="129"/>
      <c r="O263" s="129"/>
      <c r="P263" s="309"/>
      <c r="Q263" s="309"/>
      <c r="R263" s="309"/>
      <c r="S263" s="309"/>
    </row>
    <row r="264" spans="1:19" x14ac:dyDescent="0.25">
      <c r="A264" s="127"/>
      <c r="B264" s="127"/>
      <c r="C264" s="127"/>
      <c r="D264" s="127"/>
      <c r="E264" s="127"/>
      <c r="F264" s="127" t="s">
        <v>1133</v>
      </c>
      <c r="G264" s="140"/>
      <c r="H264" s="140"/>
      <c r="I264" s="140"/>
      <c r="J264" s="129">
        <f t="shared" si="42"/>
        <v>0</v>
      </c>
      <c r="K264" s="129"/>
      <c r="L264" s="140"/>
      <c r="M264" s="129"/>
      <c r="N264" s="129"/>
      <c r="O264" s="129"/>
      <c r="P264" s="309"/>
      <c r="Q264" s="309"/>
      <c r="R264" s="309"/>
      <c r="S264" s="309"/>
    </row>
    <row r="265" spans="1:19" x14ac:dyDescent="0.25">
      <c r="A265" s="127"/>
      <c r="B265" s="127"/>
      <c r="C265" s="127"/>
      <c r="D265" s="127"/>
      <c r="E265" s="127"/>
      <c r="F265" s="127" t="s">
        <v>1135</v>
      </c>
      <c r="G265" s="140"/>
      <c r="H265" s="140"/>
      <c r="I265" s="140"/>
      <c r="J265" s="129">
        <f t="shared" si="42"/>
        <v>0</v>
      </c>
      <c r="K265" s="129"/>
      <c r="L265" s="140"/>
      <c r="M265" s="129"/>
      <c r="N265" s="129"/>
      <c r="O265" s="129"/>
      <c r="P265" s="309"/>
      <c r="Q265" s="309"/>
      <c r="R265" s="309"/>
      <c r="S265" s="309"/>
    </row>
    <row r="266" spans="1:19" x14ac:dyDescent="0.25">
      <c r="A266" s="127"/>
      <c r="B266" s="127"/>
      <c r="C266" s="127"/>
      <c r="D266" s="127"/>
      <c r="E266" s="127"/>
      <c r="F266" s="127" t="s">
        <v>1134</v>
      </c>
      <c r="G266" s="140"/>
      <c r="H266" s="140"/>
      <c r="I266" s="140"/>
      <c r="J266" s="129">
        <f t="shared" si="42"/>
        <v>0</v>
      </c>
      <c r="K266" s="129"/>
      <c r="L266" s="140"/>
      <c r="M266" s="129"/>
      <c r="N266" s="129"/>
      <c r="O266" s="129"/>
      <c r="P266" s="309"/>
      <c r="Q266" s="309"/>
      <c r="R266" s="309"/>
      <c r="S266" s="309"/>
    </row>
    <row r="267" spans="1:19" x14ac:dyDescent="0.25">
      <c r="A267" s="127"/>
      <c r="B267" s="127"/>
      <c r="C267" s="127"/>
      <c r="D267" s="127"/>
      <c r="E267" s="127"/>
      <c r="F267" s="127" t="s">
        <v>1128</v>
      </c>
      <c r="G267" s="140"/>
      <c r="H267" s="140"/>
      <c r="I267" s="140"/>
      <c r="J267" s="129">
        <f t="shared" si="42"/>
        <v>0</v>
      </c>
      <c r="K267" s="129"/>
      <c r="L267" s="140"/>
      <c r="M267" s="129"/>
      <c r="N267" s="129"/>
      <c r="O267" s="129"/>
      <c r="P267" s="309"/>
      <c r="Q267" s="309"/>
      <c r="R267" s="309"/>
      <c r="S267" s="309"/>
    </row>
    <row r="268" spans="1:19" x14ac:dyDescent="0.25">
      <c r="A268" s="127"/>
      <c r="B268" s="127"/>
      <c r="C268" s="127"/>
      <c r="D268" s="127"/>
      <c r="E268" s="127"/>
      <c r="F268" s="127" t="s">
        <v>1239</v>
      </c>
      <c r="G268" s="140">
        <v>1271</v>
      </c>
      <c r="H268" s="140"/>
      <c r="I268" s="140"/>
      <c r="J268" s="129">
        <f t="shared" ref="J268" si="44">+G268+I268-H268</f>
        <v>1271</v>
      </c>
      <c r="K268" s="129"/>
      <c r="L268" s="140"/>
      <c r="M268" s="129"/>
      <c r="N268" s="129"/>
      <c r="O268" s="129"/>
      <c r="P268" s="309"/>
      <c r="Q268" s="309"/>
      <c r="R268" s="309"/>
      <c r="S268" s="309"/>
    </row>
    <row r="269" spans="1:19" x14ac:dyDescent="0.25">
      <c r="A269" s="127"/>
      <c r="B269" s="127"/>
      <c r="C269" s="127"/>
      <c r="D269" s="127"/>
      <c r="E269" s="127"/>
      <c r="F269" s="127" t="s">
        <v>1136</v>
      </c>
      <c r="G269" s="140"/>
      <c r="H269" s="140"/>
      <c r="I269" s="140"/>
      <c r="J269" s="129">
        <f t="shared" si="42"/>
        <v>0</v>
      </c>
      <c r="K269" s="129"/>
      <c r="L269" s="140"/>
      <c r="M269" s="129"/>
      <c r="N269" s="129"/>
      <c r="O269" s="129"/>
      <c r="P269" s="309"/>
      <c r="Q269" s="309"/>
      <c r="R269" s="309"/>
      <c r="S269" s="309"/>
    </row>
    <row r="270" spans="1:19" x14ac:dyDescent="0.25">
      <c r="A270" s="127"/>
      <c r="B270" s="127"/>
      <c r="C270" s="127"/>
      <c r="D270" s="127"/>
      <c r="E270" s="127"/>
      <c r="F270" s="127" t="s">
        <v>1138</v>
      </c>
      <c r="G270" s="140">
        <v>0</v>
      </c>
      <c r="H270" s="140">
        <v>2</v>
      </c>
      <c r="I270" s="140">
        <v>21</v>
      </c>
      <c r="J270" s="129">
        <f t="shared" si="42"/>
        <v>19</v>
      </c>
      <c r="K270" s="129"/>
      <c r="L270" s="140"/>
      <c r="M270" s="129"/>
      <c r="N270" s="129"/>
      <c r="O270" s="129"/>
      <c r="P270" s="309"/>
      <c r="Q270" s="309"/>
      <c r="R270" s="309"/>
      <c r="S270" s="309"/>
    </row>
    <row r="271" spans="1:19" x14ac:dyDescent="0.25">
      <c r="A271" s="127"/>
      <c r="B271" s="127"/>
      <c r="C271" s="127"/>
      <c r="D271" s="127"/>
      <c r="E271" s="127"/>
      <c r="F271" s="127" t="s">
        <v>608</v>
      </c>
      <c r="G271" s="140"/>
      <c r="H271" s="140"/>
      <c r="I271" s="140"/>
      <c r="J271" s="129">
        <f t="shared" si="42"/>
        <v>0</v>
      </c>
      <c r="K271" s="129"/>
      <c r="L271" s="140">
        <v>0</v>
      </c>
      <c r="M271" s="129"/>
      <c r="N271" s="129"/>
      <c r="O271" s="129">
        <f t="shared" si="43"/>
        <v>0</v>
      </c>
      <c r="P271" s="309"/>
      <c r="Q271" s="309"/>
      <c r="R271" s="309"/>
      <c r="S271" s="309"/>
    </row>
    <row r="272" spans="1:19" x14ac:dyDescent="0.25">
      <c r="A272" s="127"/>
      <c r="B272" s="127"/>
      <c r="C272" s="127"/>
      <c r="D272" s="127"/>
      <c r="E272" s="127"/>
      <c r="F272" s="127" t="s">
        <v>753</v>
      </c>
      <c r="G272" s="140"/>
      <c r="H272" s="140"/>
      <c r="I272" s="140"/>
      <c r="J272" s="129">
        <f t="shared" si="42"/>
        <v>0</v>
      </c>
      <c r="K272" s="129"/>
      <c r="L272" s="140">
        <v>316104</v>
      </c>
      <c r="M272" s="129"/>
      <c r="N272" s="129"/>
      <c r="O272" s="129">
        <f t="shared" si="43"/>
        <v>316104</v>
      </c>
      <c r="P272" s="309"/>
      <c r="Q272" s="309"/>
      <c r="R272" s="309"/>
      <c r="S272" s="309"/>
    </row>
    <row r="273" spans="1:19" x14ac:dyDescent="0.25">
      <c r="A273" s="127"/>
      <c r="B273" s="127"/>
      <c r="C273" s="127"/>
      <c r="D273" s="127"/>
      <c r="E273" s="127"/>
      <c r="F273" s="127" t="s">
        <v>609</v>
      </c>
      <c r="G273" s="140"/>
      <c r="H273" s="140"/>
      <c r="I273" s="140"/>
      <c r="J273" s="129">
        <f t="shared" si="42"/>
        <v>0</v>
      </c>
      <c r="K273" s="129"/>
      <c r="L273" s="140">
        <v>272774</v>
      </c>
      <c r="M273" s="129"/>
      <c r="N273" s="129"/>
      <c r="O273" s="129">
        <f t="shared" si="43"/>
        <v>272774</v>
      </c>
      <c r="P273" s="309"/>
      <c r="Q273" s="309"/>
      <c r="R273" s="309"/>
      <c r="S273" s="309"/>
    </row>
    <row r="274" spans="1:19" x14ac:dyDescent="0.25">
      <c r="A274" s="127"/>
      <c r="B274" s="127"/>
      <c r="C274" s="127"/>
      <c r="D274" s="127"/>
      <c r="E274" s="127"/>
      <c r="F274" s="127" t="s">
        <v>1238</v>
      </c>
      <c r="G274" s="140">
        <v>550193</v>
      </c>
      <c r="H274" s="140">
        <v>27638</v>
      </c>
      <c r="I274" s="140"/>
      <c r="J274" s="129">
        <f t="shared" si="42"/>
        <v>522555</v>
      </c>
      <c r="K274" s="129"/>
      <c r="L274" s="140"/>
      <c r="M274" s="129"/>
      <c r="N274" s="129"/>
      <c r="O274" s="129"/>
      <c r="P274" s="309"/>
      <c r="Q274" s="309"/>
      <c r="R274" s="309"/>
      <c r="S274" s="309"/>
    </row>
    <row r="275" spans="1:19" x14ac:dyDescent="0.25">
      <c r="A275" s="127"/>
      <c r="B275" s="127"/>
      <c r="C275" s="127"/>
      <c r="D275" s="127"/>
      <c r="E275" s="127"/>
      <c r="F275" s="127" t="s">
        <v>610</v>
      </c>
      <c r="G275" s="140">
        <v>1358007</v>
      </c>
      <c r="H275" s="140">
        <v>612658</v>
      </c>
      <c r="I275" s="140"/>
      <c r="J275" s="129">
        <f t="shared" si="42"/>
        <v>745349</v>
      </c>
      <c r="K275" s="129"/>
      <c r="L275" s="140">
        <v>1508615</v>
      </c>
      <c r="M275" s="129"/>
      <c r="N275" s="129"/>
      <c r="O275" s="129">
        <f t="shared" si="43"/>
        <v>1508615</v>
      </c>
      <c r="P275" s="309"/>
      <c r="Q275" s="309"/>
      <c r="R275" s="309"/>
      <c r="S275" s="309"/>
    </row>
    <row r="276" spans="1:19" x14ac:dyDescent="0.25">
      <c r="A276" s="127"/>
      <c r="B276" s="127"/>
      <c r="C276" s="127"/>
      <c r="D276" s="127"/>
      <c r="E276" s="127"/>
      <c r="F276" s="127" t="s">
        <v>611</v>
      </c>
      <c r="G276" s="140">
        <v>0</v>
      </c>
      <c r="H276" s="140"/>
      <c r="I276" s="140"/>
      <c r="J276" s="129">
        <f t="shared" si="42"/>
        <v>0</v>
      </c>
      <c r="K276" s="129"/>
      <c r="L276" s="140">
        <v>0</v>
      </c>
      <c r="M276" s="129"/>
      <c r="N276" s="129"/>
      <c r="O276" s="129">
        <f t="shared" si="43"/>
        <v>0</v>
      </c>
      <c r="P276" s="309"/>
      <c r="Q276" s="309"/>
      <c r="R276" s="309"/>
      <c r="S276" s="309"/>
    </row>
    <row r="277" spans="1:19" x14ac:dyDescent="0.25">
      <c r="A277" s="127"/>
      <c r="B277" s="127"/>
      <c r="C277" s="127"/>
      <c r="D277" s="127"/>
      <c r="E277" s="127"/>
      <c r="F277" s="127" t="s">
        <v>612</v>
      </c>
      <c r="G277" s="140">
        <v>0</v>
      </c>
      <c r="H277" s="140"/>
      <c r="I277" s="140"/>
      <c r="J277" s="129">
        <f t="shared" si="42"/>
        <v>0</v>
      </c>
      <c r="K277" s="129"/>
      <c r="L277" s="140">
        <v>0</v>
      </c>
      <c r="M277" s="129"/>
      <c r="N277" s="129"/>
      <c r="O277" s="129">
        <f t="shared" si="43"/>
        <v>0</v>
      </c>
      <c r="P277" s="309"/>
      <c r="Q277" s="309"/>
      <c r="R277" s="309"/>
      <c r="S277" s="309"/>
    </row>
    <row r="278" spans="1:19" x14ac:dyDescent="0.25">
      <c r="A278" s="127"/>
      <c r="B278" s="127"/>
      <c r="C278" s="127"/>
      <c r="D278" s="127"/>
      <c r="E278" s="127"/>
      <c r="F278" s="127" t="s">
        <v>613</v>
      </c>
      <c r="G278" s="140">
        <v>0</v>
      </c>
      <c r="H278" s="140"/>
      <c r="I278" s="140"/>
      <c r="J278" s="129">
        <f t="shared" si="42"/>
        <v>0</v>
      </c>
      <c r="K278" s="129"/>
      <c r="L278" s="140">
        <v>0</v>
      </c>
      <c r="M278" s="129"/>
      <c r="N278" s="129"/>
      <c r="O278" s="129">
        <f t="shared" si="43"/>
        <v>0</v>
      </c>
      <c r="P278" s="309"/>
      <c r="Q278" s="309"/>
      <c r="R278" s="309"/>
      <c r="S278" s="309"/>
    </row>
    <row r="279" spans="1:19" x14ac:dyDescent="0.25">
      <c r="A279" s="127"/>
      <c r="B279" s="127"/>
      <c r="C279" s="127"/>
      <c r="D279" s="127"/>
      <c r="E279" s="127"/>
      <c r="F279" s="127" t="s">
        <v>843</v>
      </c>
      <c r="G279" s="140"/>
      <c r="H279" s="140"/>
      <c r="I279" s="140"/>
      <c r="J279" s="129">
        <f t="shared" si="42"/>
        <v>0</v>
      </c>
      <c r="K279" s="129"/>
      <c r="L279" s="140"/>
      <c r="M279" s="129"/>
      <c r="N279" s="129"/>
      <c r="O279" s="129">
        <f t="shared" si="43"/>
        <v>0</v>
      </c>
      <c r="P279" s="309"/>
      <c r="Q279" s="309"/>
      <c r="R279" s="309"/>
      <c r="S279" s="309"/>
    </row>
    <row r="280" spans="1:19" x14ac:dyDescent="0.25">
      <c r="A280" s="127"/>
      <c r="B280" s="127"/>
      <c r="C280" s="127"/>
      <c r="D280" s="127"/>
      <c r="E280" s="127"/>
      <c r="F280" s="127" t="s">
        <v>615</v>
      </c>
      <c r="G280" s="140">
        <v>0</v>
      </c>
      <c r="H280" s="140"/>
      <c r="I280" s="140"/>
      <c r="J280" s="129">
        <f t="shared" si="42"/>
        <v>0</v>
      </c>
      <c r="K280" s="129"/>
      <c r="L280" s="140">
        <v>0</v>
      </c>
      <c r="M280" s="129"/>
      <c r="N280" s="129"/>
      <c r="O280" s="129">
        <f t="shared" si="43"/>
        <v>0</v>
      </c>
      <c r="P280" s="309"/>
      <c r="Q280" s="309"/>
      <c r="R280" s="309"/>
      <c r="S280" s="309"/>
    </row>
    <row r="281" spans="1:19" x14ac:dyDescent="0.25">
      <c r="A281" s="127"/>
      <c r="B281" s="127"/>
      <c r="C281" s="127"/>
      <c r="D281" s="127"/>
      <c r="E281" s="127"/>
      <c r="F281" s="127" t="s">
        <v>614</v>
      </c>
      <c r="G281" s="140">
        <v>0</v>
      </c>
      <c r="H281" s="140"/>
      <c r="I281" s="140"/>
      <c r="J281" s="129">
        <f t="shared" si="42"/>
        <v>0</v>
      </c>
      <c r="K281" s="129"/>
      <c r="L281" s="140">
        <v>0</v>
      </c>
      <c r="M281" s="129"/>
      <c r="N281" s="129"/>
      <c r="O281" s="129">
        <f t="shared" si="43"/>
        <v>0</v>
      </c>
      <c r="P281" s="309"/>
      <c r="Q281" s="309"/>
      <c r="R281" s="309"/>
      <c r="S281" s="309"/>
    </row>
    <row r="282" spans="1:19" x14ac:dyDescent="0.25">
      <c r="A282" s="127"/>
      <c r="B282" s="127"/>
      <c r="C282" s="127"/>
      <c r="D282" s="127"/>
      <c r="E282" s="127"/>
      <c r="F282" s="127" t="s">
        <v>842</v>
      </c>
      <c r="G282" s="140"/>
      <c r="H282" s="140"/>
      <c r="I282" s="140"/>
      <c r="J282" s="129">
        <f t="shared" si="42"/>
        <v>0</v>
      </c>
      <c r="K282" s="129"/>
      <c r="L282" s="140"/>
      <c r="M282" s="129"/>
      <c r="N282" s="129"/>
      <c r="O282" s="129">
        <f t="shared" si="43"/>
        <v>0</v>
      </c>
      <c r="P282" s="309"/>
      <c r="Q282" s="309"/>
      <c r="R282" s="309"/>
      <c r="S282" s="309"/>
    </row>
    <row r="283" spans="1:19" x14ac:dyDescent="0.25">
      <c r="A283" s="127"/>
      <c r="B283" s="127"/>
      <c r="C283" s="127"/>
      <c r="D283" s="127"/>
      <c r="E283" s="127"/>
      <c r="F283" s="127" t="s">
        <v>616</v>
      </c>
      <c r="G283" s="140"/>
      <c r="H283" s="140"/>
      <c r="I283" s="140"/>
      <c r="J283" s="129">
        <f t="shared" si="42"/>
        <v>0</v>
      </c>
      <c r="K283" s="129"/>
      <c r="L283" s="140">
        <v>301046</v>
      </c>
      <c r="M283" s="129"/>
      <c r="N283" s="129"/>
      <c r="O283" s="129">
        <f t="shared" si="43"/>
        <v>301046</v>
      </c>
      <c r="P283" s="309"/>
      <c r="Q283" s="309"/>
      <c r="R283" s="309"/>
      <c r="S283" s="309"/>
    </row>
    <row r="284" spans="1:19" x14ac:dyDescent="0.25">
      <c r="A284" s="127"/>
      <c r="B284" s="127"/>
      <c r="C284" s="127"/>
      <c r="D284" s="127"/>
      <c r="E284" s="127"/>
      <c r="F284" s="127" t="s">
        <v>1021</v>
      </c>
      <c r="G284" s="140">
        <v>23</v>
      </c>
      <c r="H284" s="140">
        <v>23</v>
      </c>
      <c r="I284" s="140"/>
      <c r="J284" s="129">
        <f t="shared" si="42"/>
        <v>0</v>
      </c>
      <c r="K284" s="129"/>
      <c r="L284" s="140">
        <v>4000000</v>
      </c>
      <c r="M284" s="129"/>
      <c r="N284" s="129"/>
      <c r="O284" s="129"/>
      <c r="P284" s="309"/>
      <c r="Q284" s="309"/>
      <c r="R284" s="309"/>
      <c r="S284" s="309"/>
    </row>
    <row r="285" spans="1:19" x14ac:dyDescent="0.25">
      <c r="A285" s="127"/>
      <c r="B285" s="127"/>
      <c r="C285" s="127"/>
      <c r="D285" s="127"/>
      <c r="E285" s="127"/>
      <c r="F285" s="127" t="s">
        <v>1129</v>
      </c>
      <c r="G285" s="140">
        <v>6669007</v>
      </c>
      <c r="H285" s="140">
        <v>8017216</v>
      </c>
      <c r="I285" s="140">
        <v>3654000</v>
      </c>
      <c r="J285" s="129">
        <f t="shared" si="42"/>
        <v>2305791</v>
      </c>
      <c r="K285" s="129"/>
      <c r="L285" s="140"/>
      <c r="M285" s="129"/>
      <c r="N285" s="129"/>
      <c r="O285" s="129"/>
      <c r="P285" s="309"/>
      <c r="Q285" s="309"/>
      <c r="R285" s="309"/>
      <c r="S285" s="309"/>
    </row>
    <row r="286" spans="1:19" x14ac:dyDescent="0.25">
      <c r="A286" s="127"/>
      <c r="B286" s="127"/>
      <c r="C286" s="127"/>
      <c r="D286" s="127"/>
      <c r="E286" s="127"/>
      <c r="F286" s="127" t="s">
        <v>1130</v>
      </c>
      <c r="G286" s="140">
        <v>-257</v>
      </c>
      <c r="H286" s="140"/>
      <c r="I286" s="140">
        <v>257</v>
      </c>
      <c r="J286" s="129">
        <f t="shared" ref="J286" si="45">+G286+I286-H286</f>
        <v>0</v>
      </c>
      <c r="K286" s="129"/>
      <c r="L286" s="140"/>
      <c r="M286" s="129"/>
      <c r="N286" s="129"/>
      <c r="O286" s="129"/>
      <c r="P286" s="309"/>
      <c r="Q286" s="309"/>
      <c r="R286" s="309"/>
      <c r="S286" s="309"/>
    </row>
    <row r="287" spans="1:19" x14ac:dyDescent="0.25">
      <c r="A287" s="127"/>
      <c r="B287" s="127"/>
      <c r="C287" s="127"/>
      <c r="D287" s="127"/>
      <c r="E287" s="127"/>
      <c r="F287" s="127" t="s">
        <v>1240</v>
      </c>
      <c r="G287" s="140">
        <v>99987</v>
      </c>
      <c r="H287" s="140">
        <v>99987</v>
      </c>
      <c r="I287" s="140"/>
      <c r="J287" s="129">
        <f t="shared" ref="J287" si="46">+G287+I287-H287</f>
        <v>0</v>
      </c>
      <c r="K287" s="129"/>
      <c r="L287" s="140"/>
      <c r="M287" s="129"/>
      <c r="N287" s="129"/>
      <c r="O287" s="129"/>
      <c r="P287" s="309"/>
      <c r="Q287" s="309"/>
      <c r="R287" s="309"/>
      <c r="S287" s="309"/>
    </row>
    <row r="288" spans="1:19" x14ac:dyDescent="0.25">
      <c r="A288" s="127"/>
      <c r="B288" s="127"/>
      <c r="C288" s="127"/>
      <c r="D288" s="127"/>
      <c r="E288" s="127"/>
      <c r="F288" s="127" t="s">
        <v>1241</v>
      </c>
      <c r="G288" s="140">
        <v>993652</v>
      </c>
      <c r="H288" s="140">
        <v>1485776</v>
      </c>
      <c r="I288" s="140">
        <v>1031000</v>
      </c>
      <c r="J288" s="129">
        <f t="shared" si="42"/>
        <v>538876</v>
      </c>
      <c r="K288" s="129"/>
      <c r="L288" s="140"/>
      <c r="M288" s="129"/>
      <c r="N288" s="129"/>
      <c r="O288" s="129"/>
      <c r="P288" s="309"/>
      <c r="Q288" s="309"/>
      <c r="R288" s="309"/>
      <c r="S288" s="309"/>
    </row>
    <row r="289" spans="1:19" x14ac:dyDescent="0.25">
      <c r="A289" s="127"/>
      <c r="B289" s="127"/>
      <c r="C289" s="127"/>
      <c r="D289" s="127"/>
      <c r="E289" s="127"/>
      <c r="F289" s="127" t="s">
        <v>1258</v>
      </c>
      <c r="G289" s="140">
        <v>0</v>
      </c>
      <c r="H289" s="140">
        <v>1940649</v>
      </c>
      <c r="I289" s="140">
        <v>2985000</v>
      </c>
      <c r="J289" s="129">
        <f t="shared" ref="J289" si="47">+G289+I289-H289</f>
        <v>1044351</v>
      </c>
      <c r="K289" s="129"/>
      <c r="L289" s="140"/>
      <c r="M289" s="129"/>
      <c r="N289" s="129"/>
      <c r="O289" s="129"/>
      <c r="P289" s="309"/>
      <c r="Q289" s="309"/>
      <c r="R289" s="309"/>
      <c r="S289" s="309"/>
    </row>
    <row r="290" spans="1:19" x14ac:dyDescent="0.25">
      <c r="A290" s="138">
        <v>2</v>
      </c>
      <c r="B290" s="138">
        <v>1</v>
      </c>
      <c r="C290" s="138">
        <v>2</v>
      </c>
      <c r="D290" s="138"/>
      <c r="E290" s="138"/>
      <c r="F290" s="143" t="s">
        <v>102</v>
      </c>
      <c r="G290" s="143"/>
      <c r="H290" s="143"/>
      <c r="I290" s="143"/>
      <c r="J290" s="139"/>
      <c r="K290" s="139"/>
      <c r="L290" s="143"/>
      <c r="M290" s="139"/>
      <c r="N290" s="139"/>
      <c r="O290" s="139"/>
      <c r="P290" s="309"/>
      <c r="Q290" s="309"/>
      <c r="R290" s="309"/>
      <c r="S290" s="309"/>
    </row>
    <row r="291" spans="1:19" x14ac:dyDescent="0.25">
      <c r="A291" s="127">
        <v>2</v>
      </c>
      <c r="B291" s="127">
        <v>1</v>
      </c>
      <c r="C291" s="127">
        <v>2</v>
      </c>
      <c r="D291" s="127">
        <v>1</v>
      </c>
      <c r="E291" s="127"/>
      <c r="F291" s="127" t="s">
        <v>336</v>
      </c>
      <c r="G291" s="127"/>
      <c r="H291" s="127"/>
      <c r="I291" s="127"/>
      <c r="J291" s="129"/>
      <c r="K291" s="129"/>
      <c r="L291" s="127"/>
      <c r="M291" s="129"/>
      <c r="N291" s="129"/>
      <c r="O291" s="129"/>
      <c r="P291" s="309"/>
      <c r="Q291" s="309"/>
      <c r="R291" s="309"/>
      <c r="S291" s="309"/>
    </row>
    <row r="292" spans="1:19" ht="24" x14ac:dyDescent="0.25">
      <c r="A292" s="127">
        <v>2</v>
      </c>
      <c r="B292" s="127">
        <v>1</v>
      </c>
      <c r="C292" s="127">
        <v>2</v>
      </c>
      <c r="D292" s="127">
        <v>2</v>
      </c>
      <c r="E292" s="127"/>
      <c r="F292" s="127" t="s">
        <v>337</v>
      </c>
      <c r="G292" s="127"/>
      <c r="H292" s="127"/>
      <c r="I292" s="127"/>
      <c r="J292" s="129"/>
      <c r="K292" s="129"/>
      <c r="L292" s="127"/>
      <c r="M292" s="129"/>
      <c r="N292" s="129"/>
      <c r="O292" s="129"/>
      <c r="P292" s="309"/>
      <c r="Q292" s="309"/>
      <c r="R292" s="309"/>
      <c r="S292" s="309"/>
    </row>
    <row r="293" spans="1:19" x14ac:dyDescent="0.25">
      <c r="A293" s="127">
        <v>2</v>
      </c>
      <c r="B293" s="127">
        <v>1</v>
      </c>
      <c r="C293" s="127">
        <v>2</v>
      </c>
      <c r="D293" s="127">
        <v>9</v>
      </c>
      <c r="E293" s="127"/>
      <c r="F293" s="127" t="s">
        <v>338</v>
      </c>
      <c r="G293" s="127"/>
      <c r="H293" s="127"/>
      <c r="I293" s="127"/>
      <c r="J293" s="129"/>
      <c r="K293" s="129"/>
      <c r="L293" s="127"/>
      <c r="M293" s="129"/>
      <c r="N293" s="129"/>
      <c r="O293" s="129"/>
      <c r="P293" s="309"/>
      <c r="Q293" s="309"/>
      <c r="R293" s="309"/>
      <c r="S293" s="309"/>
    </row>
    <row r="294" spans="1:19" ht="24" x14ac:dyDescent="0.25">
      <c r="A294" s="127">
        <v>2</v>
      </c>
      <c r="B294" s="127">
        <v>1</v>
      </c>
      <c r="C294" s="127">
        <v>3</v>
      </c>
      <c r="D294" s="127"/>
      <c r="E294" s="127"/>
      <c r="F294" s="128" t="s">
        <v>104</v>
      </c>
      <c r="G294" s="128"/>
      <c r="H294" s="128"/>
      <c r="I294" s="128"/>
      <c r="J294" s="129"/>
      <c r="K294" s="129"/>
      <c r="L294" s="128"/>
      <c r="M294" s="129"/>
      <c r="N294" s="129"/>
      <c r="O294" s="129"/>
      <c r="P294" s="309"/>
      <c r="Q294" s="309"/>
      <c r="R294" s="309"/>
      <c r="S294" s="309"/>
    </row>
    <row r="295" spans="1:19" x14ac:dyDescent="0.25">
      <c r="A295" s="127">
        <v>2</v>
      </c>
      <c r="B295" s="127">
        <v>1</v>
      </c>
      <c r="C295" s="127">
        <v>3</v>
      </c>
      <c r="D295" s="127">
        <v>1</v>
      </c>
      <c r="E295" s="127"/>
      <c r="F295" s="127" t="s">
        <v>339</v>
      </c>
      <c r="G295" s="127"/>
      <c r="H295" s="127"/>
      <c r="I295" s="127"/>
      <c r="J295" s="129"/>
      <c r="K295" s="129"/>
      <c r="L295" s="127"/>
      <c r="M295" s="129"/>
      <c r="N295" s="129"/>
      <c r="O295" s="129"/>
      <c r="P295" s="309"/>
      <c r="Q295" s="309"/>
      <c r="R295" s="309"/>
      <c r="S295" s="309"/>
    </row>
    <row r="296" spans="1:19" x14ac:dyDescent="0.25">
      <c r="A296" s="127">
        <v>2</v>
      </c>
      <c r="B296" s="127">
        <v>1</v>
      </c>
      <c r="C296" s="127">
        <v>3</v>
      </c>
      <c r="D296" s="127">
        <v>2</v>
      </c>
      <c r="E296" s="127"/>
      <c r="F296" s="127" t="s">
        <v>340</v>
      </c>
      <c r="G296" s="127"/>
      <c r="H296" s="127"/>
      <c r="I296" s="127"/>
      <c r="J296" s="129"/>
      <c r="K296" s="129"/>
      <c r="L296" s="127"/>
      <c r="M296" s="129"/>
      <c r="N296" s="129"/>
      <c r="O296" s="129"/>
      <c r="P296" s="309"/>
      <c r="Q296" s="309"/>
      <c r="R296" s="309"/>
      <c r="S296" s="309"/>
    </row>
    <row r="297" spans="1:19" x14ac:dyDescent="0.25">
      <c r="A297" s="127">
        <v>2</v>
      </c>
      <c r="B297" s="127">
        <v>1</v>
      </c>
      <c r="C297" s="127">
        <v>3</v>
      </c>
      <c r="D297" s="127">
        <v>3</v>
      </c>
      <c r="E297" s="127"/>
      <c r="F297" s="127" t="s">
        <v>341</v>
      </c>
      <c r="G297" s="127"/>
      <c r="H297" s="127"/>
      <c r="I297" s="127"/>
      <c r="J297" s="129"/>
      <c r="K297" s="129"/>
      <c r="L297" s="127"/>
      <c r="M297" s="129"/>
      <c r="N297" s="129"/>
      <c r="O297" s="129"/>
      <c r="P297" s="309"/>
      <c r="Q297" s="309"/>
      <c r="R297" s="309"/>
      <c r="S297" s="309"/>
    </row>
    <row r="298" spans="1:19" x14ac:dyDescent="0.25">
      <c r="A298" s="127">
        <v>2</v>
      </c>
      <c r="B298" s="127">
        <v>1</v>
      </c>
      <c r="C298" s="127">
        <v>4</v>
      </c>
      <c r="D298" s="127"/>
      <c r="E298" s="127"/>
      <c r="F298" s="128" t="s">
        <v>106</v>
      </c>
      <c r="G298" s="128"/>
      <c r="H298" s="128"/>
      <c r="I298" s="128"/>
      <c r="J298" s="129"/>
      <c r="K298" s="129"/>
      <c r="L298" s="128"/>
      <c r="M298" s="129"/>
      <c r="N298" s="129"/>
      <c r="O298" s="129"/>
      <c r="P298" s="309"/>
      <c r="Q298" s="309"/>
      <c r="R298" s="309"/>
      <c r="S298" s="309"/>
    </row>
    <row r="299" spans="1:19" ht="24" x14ac:dyDescent="0.25">
      <c r="A299" s="127">
        <v>2</v>
      </c>
      <c r="B299" s="127">
        <v>1</v>
      </c>
      <c r="C299" s="127">
        <v>4</v>
      </c>
      <c r="D299" s="127">
        <v>1</v>
      </c>
      <c r="E299" s="127"/>
      <c r="F299" s="127" t="s">
        <v>342</v>
      </c>
      <c r="G299" s="127"/>
      <c r="H299" s="127"/>
      <c r="I299" s="127"/>
      <c r="J299" s="129"/>
      <c r="K299" s="129"/>
      <c r="L299" s="127"/>
      <c r="M299" s="129"/>
      <c r="N299" s="129"/>
      <c r="O299" s="129"/>
      <c r="P299" s="309"/>
      <c r="Q299" s="309"/>
      <c r="R299" s="309"/>
      <c r="S299" s="309"/>
    </row>
    <row r="300" spans="1:19" ht="24" x14ac:dyDescent="0.25">
      <c r="A300" s="127">
        <v>2</v>
      </c>
      <c r="B300" s="127">
        <v>1</v>
      </c>
      <c r="C300" s="127">
        <v>4</v>
      </c>
      <c r="D300" s="127">
        <v>2</v>
      </c>
      <c r="E300" s="127"/>
      <c r="F300" s="127" t="s">
        <v>343</v>
      </c>
      <c r="G300" s="127"/>
      <c r="H300" s="127"/>
      <c r="I300" s="127"/>
      <c r="J300" s="129"/>
      <c r="K300" s="129"/>
      <c r="L300" s="127"/>
      <c r="M300" s="129"/>
      <c r="N300" s="129"/>
      <c r="O300" s="129"/>
      <c r="P300" s="309"/>
      <c r="Q300" s="309"/>
      <c r="R300" s="309"/>
      <c r="S300" s="309"/>
    </row>
    <row r="301" spans="1:19" x14ac:dyDescent="0.25">
      <c r="A301" s="127">
        <v>2</v>
      </c>
      <c r="B301" s="127">
        <v>1</v>
      </c>
      <c r="C301" s="127">
        <v>5</v>
      </c>
      <c r="D301" s="127"/>
      <c r="E301" s="127"/>
      <c r="F301" s="128" t="s">
        <v>108</v>
      </c>
      <c r="G301" s="128"/>
      <c r="H301" s="128"/>
      <c r="I301" s="128"/>
      <c r="J301" s="129"/>
      <c r="K301" s="129"/>
      <c r="L301" s="128"/>
      <c r="M301" s="129"/>
      <c r="N301" s="129"/>
      <c r="O301" s="129"/>
      <c r="P301" s="309"/>
      <c r="Q301" s="309"/>
      <c r="R301" s="309"/>
      <c r="S301" s="309"/>
    </row>
    <row r="302" spans="1:19" x14ac:dyDescent="0.25">
      <c r="A302" s="127">
        <v>2</v>
      </c>
      <c r="B302" s="127">
        <v>1</v>
      </c>
      <c r="C302" s="127">
        <v>5</v>
      </c>
      <c r="D302" s="127">
        <v>1</v>
      </c>
      <c r="E302" s="127"/>
      <c r="F302" s="127" t="s">
        <v>344</v>
      </c>
      <c r="G302" s="127"/>
      <c r="H302" s="127"/>
      <c r="I302" s="127"/>
      <c r="J302" s="129"/>
      <c r="K302" s="129"/>
      <c r="L302" s="127"/>
      <c r="M302" s="129"/>
      <c r="N302" s="129"/>
      <c r="O302" s="129"/>
      <c r="P302" s="309"/>
      <c r="Q302" s="309"/>
      <c r="R302" s="309"/>
      <c r="S302" s="309"/>
    </row>
    <row r="303" spans="1:19" x14ac:dyDescent="0.25">
      <c r="A303" s="127">
        <v>2</v>
      </c>
      <c r="B303" s="127">
        <v>1</v>
      </c>
      <c r="C303" s="127">
        <v>5</v>
      </c>
      <c r="D303" s="127">
        <v>2</v>
      </c>
      <c r="E303" s="127"/>
      <c r="F303" s="127" t="s">
        <v>345</v>
      </c>
      <c r="G303" s="127"/>
      <c r="H303" s="127"/>
      <c r="I303" s="127"/>
      <c r="J303" s="129"/>
      <c r="K303" s="129"/>
      <c r="L303" s="127"/>
      <c r="M303" s="129"/>
      <c r="N303" s="129"/>
      <c r="O303" s="129"/>
      <c r="P303" s="309"/>
      <c r="Q303" s="309"/>
      <c r="R303" s="309"/>
      <c r="S303" s="309"/>
    </row>
    <row r="304" spans="1:19" x14ac:dyDescent="0.25">
      <c r="A304" s="127">
        <v>2</v>
      </c>
      <c r="B304" s="127">
        <v>1</v>
      </c>
      <c r="C304" s="127">
        <v>5</v>
      </c>
      <c r="D304" s="127">
        <v>9</v>
      </c>
      <c r="E304" s="127"/>
      <c r="F304" s="127" t="s">
        <v>346</v>
      </c>
      <c r="G304" s="127"/>
      <c r="H304" s="127"/>
      <c r="I304" s="127"/>
      <c r="J304" s="129"/>
      <c r="K304" s="129"/>
      <c r="L304" s="127"/>
      <c r="M304" s="129"/>
      <c r="N304" s="129"/>
      <c r="O304" s="129"/>
      <c r="P304" s="309"/>
      <c r="Q304" s="309"/>
      <c r="R304" s="309"/>
      <c r="S304" s="309"/>
    </row>
    <row r="305" spans="1:19" ht="24" x14ac:dyDescent="0.25">
      <c r="A305" s="132">
        <v>2</v>
      </c>
      <c r="B305" s="132">
        <v>1</v>
      </c>
      <c r="C305" s="132">
        <v>6</v>
      </c>
      <c r="D305" s="132"/>
      <c r="E305" s="132"/>
      <c r="F305" s="135" t="s">
        <v>110</v>
      </c>
      <c r="G305" s="131">
        <f>G310</f>
        <v>310862</v>
      </c>
      <c r="H305" s="131">
        <f t="shared" ref="H305:O305" si="48">H310</f>
        <v>592453</v>
      </c>
      <c r="I305" s="131">
        <f t="shared" si="48"/>
        <v>446063</v>
      </c>
      <c r="J305" s="131">
        <f t="shared" si="48"/>
        <v>164472</v>
      </c>
      <c r="K305" s="131"/>
      <c r="L305" s="131">
        <f>L310</f>
        <v>279103</v>
      </c>
      <c r="M305" s="131"/>
      <c r="N305" s="131"/>
      <c r="O305" s="131">
        <f t="shared" si="48"/>
        <v>279103</v>
      </c>
      <c r="P305" s="309"/>
      <c r="Q305" s="309"/>
      <c r="R305" s="309"/>
      <c r="S305" s="309"/>
    </row>
    <row r="306" spans="1:19" x14ac:dyDescent="0.25">
      <c r="A306" s="127">
        <v>2</v>
      </c>
      <c r="B306" s="127">
        <v>1</v>
      </c>
      <c r="C306" s="127">
        <v>6</v>
      </c>
      <c r="D306" s="127">
        <v>1</v>
      </c>
      <c r="E306" s="127"/>
      <c r="F306" s="127" t="s">
        <v>347</v>
      </c>
      <c r="G306" s="127"/>
      <c r="H306" s="127"/>
      <c r="I306" s="127"/>
      <c r="J306" s="129"/>
      <c r="K306" s="129"/>
      <c r="L306" s="127"/>
      <c r="M306" s="129"/>
      <c r="N306" s="129"/>
      <c r="O306" s="129"/>
      <c r="P306" s="309"/>
      <c r="Q306" s="309"/>
      <c r="R306" s="309"/>
      <c r="S306" s="309"/>
    </row>
    <row r="307" spans="1:19" x14ac:dyDescent="0.25">
      <c r="A307" s="127">
        <v>2</v>
      </c>
      <c r="B307" s="127">
        <v>1</v>
      </c>
      <c r="C307" s="127">
        <v>6</v>
      </c>
      <c r="D307" s="127">
        <v>2</v>
      </c>
      <c r="E307" s="127"/>
      <c r="F307" s="127" t="s">
        <v>348</v>
      </c>
      <c r="G307" s="127"/>
      <c r="H307" s="127"/>
      <c r="I307" s="127"/>
      <c r="J307" s="129"/>
      <c r="K307" s="129"/>
      <c r="L307" s="127"/>
      <c r="M307" s="129"/>
      <c r="N307" s="129"/>
      <c r="O307" s="129"/>
      <c r="P307" s="309"/>
      <c r="Q307" s="309"/>
      <c r="R307" s="309"/>
      <c r="S307" s="309"/>
    </row>
    <row r="308" spans="1:19" x14ac:dyDescent="0.25">
      <c r="A308" s="127">
        <v>2</v>
      </c>
      <c r="B308" s="127">
        <v>1</v>
      </c>
      <c r="C308" s="127">
        <v>6</v>
      </c>
      <c r="D308" s="127">
        <v>3</v>
      </c>
      <c r="E308" s="127"/>
      <c r="F308" s="127" t="s">
        <v>349</v>
      </c>
      <c r="G308" s="127"/>
      <c r="H308" s="127"/>
      <c r="I308" s="127"/>
      <c r="J308" s="129"/>
      <c r="K308" s="129"/>
      <c r="L308" s="127"/>
      <c r="M308" s="129"/>
      <c r="N308" s="129"/>
      <c r="O308" s="129"/>
      <c r="P308" s="309"/>
      <c r="Q308" s="309"/>
      <c r="R308" s="309"/>
      <c r="S308" s="309"/>
    </row>
    <row r="309" spans="1:19" ht="24" x14ac:dyDescent="0.25">
      <c r="A309" s="127">
        <v>2</v>
      </c>
      <c r="B309" s="127">
        <v>1</v>
      </c>
      <c r="C309" s="127">
        <v>6</v>
      </c>
      <c r="D309" s="127">
        <v>4</v>
      </c>
      <c r="E309" s="127"/>
      <c r="F309" s="127" t="s">
        <v>350</v>
      </c>
      <c r="G309" s="127"/>
      <c r="H309" s="127"/>
      <c r="I309" s="127"/>
      <c r="J309" s="129"/>
      <c r="K309" s="129"/>
      <c r="L309" s="127"/>
      <c r="M309" s="129"/>
      <c r="N309" s="129"/>
      <c r="O309" s="129"/>
      <c r="P309" s="309"/>
      <c r="Q309" s="309"/>
      <c r="R309" s="309"/>
      <c r="S309" s="309"/>
    </row>
    <row r="310" spans="1:19" ht="24" x14ac:dyDescent="0.25">
      <c r="A310" s="127">
        <v>2</v>
      </c>
      <c r="B310" s="127">
        <v>1</v>
      </c>
      <c r="C310" s="127">
        <v>6</v>
      </c>
      <c r="D310" s="127">
        <v>5</v>
      </c>
      <c r="E310" s="127"/>
      <c r="F310" s="127" t="s">
        <v>351</v>
      </c>
      <c r="G310" s="129">
        <f>SUM(G311:G316)</f>
        <v>310862</v>
      </c>
      <c r="H310" s="129">
        <f t="shared" ref="H310:I310" si="49">SUM(H311:H316)</f>
        <v>592453</v>
      </c>
      <c r="I310" s="129">
        <f t="shared" si="49"/>
        <v>446063</v>
      </c>
      <c r="J310" s="129">
        <f>SUM(J311:J316)</f>
        <v>164472</v>
      </c>
      <c r="K310" s="129"/>
      <c r="L310" s="129">
        <f>SUM(L311:L316)</f>
        <v>279103</v>
      </c>
      <c r="M310" s="129"/>
      <c r="N310" s="129"/>
      <c r="O310" s="129">
        <f>SUM(O311:O317)</f>
        <v>279103</v>
      </c>
      <c r="P310" s="309"/>
      <c r="Q310" s="309"/>
      <c r="R310" s="309"/>
      <c r="S310" s="309"/>
    </row>
    <row r="311" spans="1:19" x14ac:dyDescent="0.25">
      <c r="A311" s="127"/>
      <c r="B311" s="127"/>
      <c r="C311" s="127"/>
      <c r="D311" s="127"/>
      <c r="E311" s="127"/>
      <c r="F311" s="127" t="s">
        <v>725</v>
      </c>
      <c r="G311" s="140"/>
      <c r="H311" s="140"/>
      <c r="I311" s="140"/>
      <c r="J311" s="129">
        <f t="shared" ref="J311:J316" si="50">+G311+I311-H311</f>
        <v>0</v>
      </c>
      <c r="K311" s="129"/>
      <c r="L311" s="140">
        <v>0</v>
      </c>
      <c r="M311" s="129"/>
      <c r="N311" s="129"/>
      <c r="O311" s="129">
        <f t="shared" ref="O311:O317" si="51">L311-M311+N311</f>
        <v>0</v>
      </c>
      <c r="P311" s="309"/>
      <c r="Q311" s="309"/>
      <c r="R311" s="309"/>
      <c r="S311" s="309"/>
    </row>
    <row r="312" spans="1:19" x14ac:dyDescent="0.25">
      <c r="A312" s="127"/>
      <c r="B312" s="127"/>
      <c r="C312" s="127"/>
      <c r="D312" s="127"/>
      <c r="E312" s="127"/>
      <c r="F312" s="127" t="s">
        <v>730</v>
      </c>
      <c r="G312" s="140">
        <v>0</v>
      </c>
      <c r="H312" s="140">
        <v>173947</v>
      </c>
      <c r="I312" s="140">
        <v>295773</v>
      </c>
      <c r="J312" s="129">
        <f t="shared" si="50"/>
        <v>121826</v>
      </c>
      <c r="K312" s="129"/>
      <c r="L312" s="140">
        <v>0</v>
      </c>
      <c r="M312" s="129"/>
      <c r="N312" s="129"/>
      <c r="O312" s="129">
        <f t="shared" si="51"/>
        <v>0</v>
      </c>
      <c r="P312" s="309"/>
      <c r="Q312" s="309"/>
      <c r="R312" s="309"/>
      <c r="S312" s="309"/>
    </row>
    <row r="313" spans="1:19" x14ac:dyDescent="0.25">
      <c r="A313" s="127"/>
      <c r="B313" s="127"/>
      <c r="C313" s="127"/>
      <c r="D313" s="127"/>
      <c r="E313" s="127"/>
      <c r="F313" s="127" t="s">
        <v>726</v>
      </c>
      <c r="G313" s="140"/>
      <c r="H313" s="140">
        <v>28196</v>
      </c>
      <c r="I313" s="140">
        <v>30275</v>
      </c>
      <c r="J313" s="129">
        <f t="shared" si="50"/>
        <v>2079</v>
      </c>
      <c r="K313" s="129"/>
      <c r="L313" s="140">
        <v>0</v>
      </c>
      <c r="M313" s="129"/>
      <c r="N313" s="129"/>
      <c r="O313" s="129">
        <f t="shared" si="51"/>
        <v>0</v>
      </c>
      <c r="P313" s="309"/>
      <c r="Q313" s="309"/>
      <c r="R313" s="309"/>
      <c r="S313" s="309"/>
    </row>
    <row r="314" spans="1:19" x14ac:dyDescent="0.25">
      <c r="A314" s="127"/>
      <c r="B314" s="127"/>
      <c r="C314" s="127"/>
      <c r="D314" s="127"/>
      <c r="E314" s="127"/>
      <c r="F314" s="127" t="s">
        <v>727</v>
      </c>
      <c r="G314" s="140"/>
      <c r="H314" s="140"/>
      <c r="I314" s="140"/>
      <c r="J314" s="129">
        <f t="shared" si="50"/>
        <v>0</v>
      </c>
      <c r="K314" s="129"/>
      <c r="L314" s="140">
        <v>0</v>
      </c>
      <c r="M314" s="129"/>
      <c r="N314" s="129"/>
      <c r="O314" s="129">
        <f t="shared" si="51"/>
        <v>0</v>
      </c>
      <c r="P314" s="309"/>
      <c r="Q314" s="309"/>
      <c r="R314" s="309"/>
      <c r="S314" s="309"/>
    </row>
    <row r="315" spans="1:19" x14ac:dyDescent="0.25">
      <c r="A315" s="127"/>
      <c r="B315" s="127"/>
      <c r="C315" s="127"/>
      <c r="D315" s="127"/>
      <c r="E315" s="127"/>
      <c r="F315" s="127" t="s">
        <v>728</v>
      </c>
      <c r="G315" s="140">
        <v>205499</v>
      </c>
      <c r="H315" s="140">
        <v>249970</v>
      </c>
      <c r="I315" s="140">
        <v>66549</v>
      </c>
      <c r="J315" s="129">
        <f t="shared" si="50"/>
        <v>22078</v>
      </c>
      <c r="K315" s="129"/>
      <c r="L315" s="140">
        <v>189043</v>
      </c>
      <c r="M315" s="129"/>
      <c r="N315" s="129"/>
      <c r="O315" s="129">
        <f t="shared" si="51"/>
        <v>189043</v>
      </c>
      <c r="P315" s="309"/>
      <c r="Q315" s="309"/>
      <c r="R315" s="309"/>
      <c r="S315" s="309"/>
    </row>
    <row r="316" spans="1:19" x14ac:dyDescent="0.25">
      <c r="A316" s="127"/>
      <c r="B316" s="127"/>
      <c r="C316" s="127"/>
      <c r="D316" s="127"/>
      <c r="E316" s="127"/>
      <c r="F316" s="127" t="s">
        <v>729</v>
      </c>
      <c r="G316" s="140">
        <v>105363</v>
      </c>
      <c r="H316" s="140">
        <v>140340</v>
      </c>
      <c r="I316" s="140">
        <v>53466</v>
      </c>
      <c r="J316" s="129">
        <f t="shared" si="50"/>
        <v>18489</v>
      </c>
      <c r="K316" s="129"/>
      <c r="L316" s="140">
        <v>90060</v>
      </c>
      <c r="M316" s="129"/>
      <c r="N316" s="129"/>
      <c r="O316" s="129">
        <f t="shared" si="51"/>
        <v>90060</v>
      </c>
      <c r="P316" s="309"/>
      <c r="Q316" s="309"/>
      <c r="R316" s="309"/>
      <c r="S316" s="309"/>
    </row>
    <row r="317" spans="1:19" x14ac:dyDescent="0.25">
      <c r="A317" s="127"/>
      <c r="B317" s="127"/>
      <c r="C317" s="127"/>
      <c r="D317" s="127"/>
      <c r="E317" s="127"/>
      <c r="F317" s="127" t="s">
        <v>844</v>
      </c>
      <c r="G317" s="140"/>
      <c r="H317" s="140"/>
      <c r="I317" s="140"/>
      <c r="J317" s="129"/>
      <c r="K317" s="129"/>
      <c r="L317" s="140"/>
      <c r="M317" s="129"/>
      <c r="N317" s="129"/>
      <c r="O317" s="129">
        <f t="shared" si="51"/>
        <v>0</v>
      </c>
      <c r="P317" s="309"/>
      <c r="Q317" s="309"/>
      <c r="R317" s="309"/>
      <c r="S317" s="309"/>
    </row>
    <row r="318" spans="1:19" x14ac:dyDescent="0.25">
      <c r="A318" s="127">
        <v>2</v>
      </c>
      <c r="B318" s="127">
        <v>1</v>
      </c>
      <c r="C318" s="127">
        <v>6</v>
      </c>
      <c r="D318" s="127">
        <v>6</v>
      </c>
      <c r="E318" s="127"/>
      <c r="F318" s="127" t="s">
        <v>352</v>
      </c>
      <c r="G318" s="127"/>
      <c r="H318" s="127"/>
      <c r="I318" s="127"/>
      <c r="J318" s="129"/>
      <c r="K318" s="129"/>
      <c r="L318" s="127"/>
      <c r="M318" s="129"/>
      <c r="N318" s="129"/>
      <c r="O318" s="129"/>
      <c r="P318" s="309"/>
      <c r="Q318" s="309"/>
      <c r="R318" s="309"/>
      <c r="S318" s="309"/>
    </row>
    <row r="319" spans="1:19" x14ac:dyDescent="0.25">
      <c r="A319" s="127">
        <v>2</v>
      </c>
      <c r="B319" s="127">
        <v>1</v>
      </c>
      <c r="C319" s="127">
        <v>7</v>
      </c>
      <c r="D319" s="127"/>
      <c r="E319" s="127"/>
      <c r="F319" s="128" t="s">
        <v>112</v>
      </c>
      <c r="G319" s="128"/>
      <c r="H319" s="128"/>
      <c r="I319" s="128"/>
      <c r="J319" s="129"/>
      <c r="K319" s="129"/>
      <c r="L319" s="128"/>
      <c r="M319" s="129"/>
      <c r="N319" s="129"/>
      <c r="O319" s="129"/>
      <c r="P319" s="309"/>
      <c r="Q319" s="309"/>
      <c r="R319" s="309"/>
      <c r="S319" s="309"/>
    </row>
    <row r="320" spans="1:19" x14ac:dyDescent="0.25">
      <c r="A320" s="127">
        <v>2</v>
      </c>
      <c r="B320" s="127">
        <v>1</v>
      </c>
      <c r="C320" s="127">
        <v>7</v>
      </c>
      <c r="D320" s="127">
        <v>1</v>
      </c>
      <c r="E320" s="127"/>
      <c r="F320" s="127" t="s">
        <v>353</v>
      </c>
      <c r="G320" s="127"/>
      <c r="H320" s="127"/>
      <c r="I320" s="127"/>
      <c r="J320" s="129"/>
      <c r="K320" s="129"/>
      <c r="L320" s="127"/>
      <c r="M320" s="129"/>
      <c r="N320" s="129"/>
      <c r="O320" s="129"/>
      <c r="P320" s="309"/>
      <c r="Q320" s="309"/>
      <c r="R320" s="309"/>
      <c r="S320" s="309"/>
    </row>
    <row r="321" spans="1:19" x14ac:dyDescent="0.25">
      <c r="A321" s="127">
        <v>2</v>
      </c>
      <c r="B321" s="127">
        <v>1</v>
      </c>
      <c r="C321" s="127">
        <v>7</v>
      </c>
      <c r="D321" s="127">
        <v>2</v>
      </c>
      <c r="E321" s="127"/>
      <c r="F321" s="127" t="s">
        <v>354</v>
      </c>
      <c r="G321" s="127"/>
      <c r="H321" s="127"/>
      <c r="I321" s="127"/>
      <c r="J321" s="129"/>
      <c r="K321" s="129"/>
      <c r="L321" s="127"/>
      <c r="M321" s="129"/>
      <c r="N321" s="129"/>
      <c r="O321" s="129"/>
      <c r="P321" s="309"/>
      <c r="Q321" s="309"/>
      <c r="R321" s="309"/>
      <c r="S321" s="309"/>
    </row>
    <row r="322" spans="1:19" x14ac:dyDescent="0.25">
      <c r="A322" s="127">
        <v>2</v>
      </c>
      <c r="B322" s="127">
        <v>1</v>
      </c>
      <c r="C322" s="127">
        <v>7</v>
      </c>
      <c r="D322" s="127">
        <v>9</v>
      </c>
      <c r="E322" s="127"/>
      <c r="F322" s="127" t="s">
        <v>355</v>
      </c>
      <c r="G322" s="127"/>
      <c r="H322" s="127"/>
      <c r="I322" s="127"/>
      <c r="J322" s="129"/>
      <c r="K322" s="129"/>
      <c r="L322" s="127"/>
      <c r="M322" s="129"/>
      <c r="N322" s="129"/>
      <c r="O322" s="129"/>
      <c r="P322" s="309"/>
      <c r="Q322" s="309"/>
      <c r="R322" s="309"/>
      <c r="S322" s="309"/>
    </row>
    <row r="323" spans="1:19" x14ac:dyDescent="0.25">
      <c r="A323" s="127">
        <v>2</v>
      </c>
      <c r="B323" s="127">
        <v>1</v>
      </c>
      <c r="C323" s="127">
        <v>9</v>
      </c>
      <c r="D323" s="127"/>
      <c r="E323" s="127"/>
      <c r="F323" s="128" t="s">
        <v>113</v>
      </c>
      <c r="G323" s="128"/>
      <c r="H323" s="128"/>
      <c r="I323" s="128"/>
      <c r="J323" s="129"/>
      <c r="K323" s="129"/>
      <c r="L323" s="128"/>
      <c r="M323" s="129"/>
      <c r="N323" s="129"/>
      <c r="O323" s="129"/>
      <c r="P323" s="309"/>
      <c r="Q323" s="309"/>
      <c r="R323" s="309"/>
      <c r="S323" s="309"/>
    </row>
    <row r="324" spans="1:19" x14ac:dyDescent="0.25">
      <c r="A324" s="127">
        <v>2</v>
      </c>
      <c r="B324" s="127">
        <v>1</v>
      </c>
      <c r="C324" s="127">
        <v>9</v>
      </c>
      <c r="D324" s="127">
        <v>1</v>
      </c>
      <c r="E324" s="127"/>
      <c r="F324" s="127" t="s">
        <v>356</v>
      </c>
      <c r="G324" s="127"/>
      <c r="H324" s="127"/>
      <c r="I324" s="127"/>
      <c r="J324" s="129"/>
      <c r="K324" s="129"/>
      <c r="L324" s="127"/>
      <c r="M324" s="129"/>
      <c r="N324" s="129"/>
      <c r="O324" s="129"/>
      <c r="P324" s="309"/>
      <c r="Q324" s="309"/>
      <c r="R324" s="309"/>
      <c r="S324" s="309"/>
    </row>
    <row r="325" spans="1:19" x14ac:dyDescent="0.25">
      <c r="A325" s="127">
        <v>2</v>
      </c>
      <c r="B325" s="127">
        <v>1</v>
      </c>
      <c r="C325" s="127">
        <v>9</v>
      </c>
      <c r="D325" s="127">
        <v>2</v>
      </c>
      <c r="E325" s="127"/>
      <c r="F325" s="127" t="s">
        <v>357</v>
      </c>
      <c r="G325" s="127"/>
      <c r="H325" s="127"/>
      <c r="I325" s="127"/>
      <c r="J325" s="129"/>
      <c r="K325" s="129"/>
      <c r="L325" s="127"/>
      <c r="M325" s="129"/>
      <c r="N325" s="129"/>
      <c r="O325" s="129"/>
      <c r="P325" s="309"/>
      <c r="Q325" s="309"/>
      <c r="R325" s="309"/>
      <c r="S325" s="309"/>
    </row>
    <row r="326" spans="1:19" x14ac:dyDescent="0.25">
      <c r="A326" s="127">
        <v>2</v>
      </c>
      <c r="B326" s="127">
        <v>1</v>
      </c>
      <c r="C326" s="127">
        <v>9</v>
      </c>
      <c r="D326" s="127">
        <v>9</v>
      </c>
      <c r="E326" s="127"/>
      <c r="F326" s="127" t="s">
        <v>358</v>
      </c>
      <c r="G326" s="127"/>
      <c r="H326" s="127"/>
      <c r="I326" s="127"/>
      <c r="J326" s="129"/>
      <c r="K326" s="129"/>
      <c r="L326" s="127"/>
      <c r="M326" s="129"/>
      <c r="N326" s="129"/>
      <c r="O326" s="129"/>
      <c r="P326" s="309"/>
      <c r="Q326" s="309"/>
      <c r="R326" s="309"/>
      <c r="S326" s="309"/>
    </row>
    <row r="327" spans="1:19" x14ac:dyDescent="0.25">
      <c r="A327" s="125">
        <v>2</v>
      </c>
      <c r="B327" s="125">
        <v>2</v>
      </c>
      <c r="C327" s="125"/>
      <c r="D327" s="125"/>
      <c r="E327" s="125"/>
      <c r="F327" s="126" t="s">
        <v>359</v>
      </c>
      <c r="G327" s="126"/>
      <c r="H327" s="126"/>
      <c r="I327" s="126"/>
      <c r="J327" s="129"/>
      <c r="K327" s="129"/>
      <c r="L327" s="126"/>
      <c r="M327" s="129"/>
      <c r="N327" s="129"/>
      <c r="O327" s="129"/>
      <c r="P327" s="309"/>
      <c r="Q327" s="309"/>
      <c r="R327" s="309"/>
      <c r="S327" s="309"/>
    </row>
    <row r="328" spans="1:19" x14ac:dyDescent="0.25">
      <c r="A328" s="127">
        <v>2</v>
      </c>
      <c r="B328" s="127">
        <v>2</v>
      </c>
      <c r="C328" s="127">
        <v>1</v>
      </c>
      <c r="D328" s="127"/>
      <c r="E328" s="127"/>
      <c r="F328" s="128" t="s">
        <v>119</v>
      </c>
      <c r="G328" s="128"/>
      <c r="H328" s="128"/>
      <c r="I328" s="128"/>
      <c r="J328" s="129"/>
      <c r="K328" s="129"/>
      <c r="L328" s="128"/>
      <c r="M328" s="129"/>
      <c r="N328" s="129"/>
      <c r="O328" s="129"/>
      <c r="P328" s="309"/>
      <c r="Q328" s="309"/>
      <c r="R328" s="309"/>
      <c r="S328" s="309"/>
    </row>
    <row r="329" spans="1:19" x14ac:dyDescent="0.25">
      <c r="A329" s="127">
        <v>2</v>
      </c>
      <c r="B329" s="127">
        <v>2</v>
      </c>
      <c r="C329" s="127">
        <v>1</v>
      </c>
      <c r="D329" s="127">
        <v>1</v>
      </c>
      <c r="E329" s="127"/>
      <c r="F329" s="127" t="s">
        <v>360</v>
      </c>
      <c r="G329" s="127"/>
      <c r="H329" s="127"/>
      <c r="I329" s="127"/>
      <c r="J329" s="129"/>
      <c r="K329" s="129"/>
      <c r="L329" s="127"/>
      <c r="M329" s="129"/>
      <c r="N329" s="129"/>
      <c r="O329" s="129"/>
      <c r="P329" s="309"/>
      <c r="Q329" s="309"/>
      <c r="R329" s="309"/>
      <c r="S329" s="309"/>
    </row>
    <row r="330" spans="1:19" ht="24" x14ac:dyDescent="0.25">
      <c r="A330" s="127">
        <v>2</v>
      </c>
      <c r="B330" s="127">
        <v>2</v>
      </c>
      <c r="C330" s="127">
        <v>1</v>
      </c>
      <c r="D330" s="127">
        <v>2</v>
      </c>
      <c r="E330" s="127"/>
      <c r="F330" s="127" t="s">
        <v>361</v>
      </c>
      <c r="G330" s="127"/>
      <c r="H330" s="127"/>
      <c r="I330" s="127"/>
      <c r="J330" s="129"/>
      <c r="K330" s="129"/>
      <c r="L330" s="127"/>
      <c r="M330" s="129"/>
      <c r="N330" s="129"/>
      <c r="O330" s="129"/>
      <c r="P330" s="309"/>
      <c r="Q330" s="309"/>
      <c r="R330" s="309"/>
      <c r="S330" s="309"/>
    </row>
    <row r="331" spans="1:19" x14ac:dyDescent="0.25">
      <c r="A331" s="127">
        <v>2</v>
      </c>
      <c r="B331" s="127">
        <v>2</v>
      </c>
      <c r="C331" s="127">
        <v>2</v>
      </c>
      <c r="D331" s="127"/>
      <c r="E331" s="127"/>
      <c r="F331" s="128" t="s">
        <v>121</v>
      </c>
      <c r="G331" s="128"/>
      <c r="H331" s="128"/>
      <c r="I331" s="128"/>
      <c r="J331" s="129"/>
      <c r="K331" s="129"/>
      <c r="L331" s="128"/>
      <c r="M331" s="129"/>
      <c r="N331" s="129"/>
      <c r="O331" s="129"/>
      <c r="P331" s="309"/>
      <c r="Q331" s="309"/>
      <c r="R331" s="309"/>
      <c r="S331" s="309"/>
    </row>
    <row r="332" spans="1:19" x14ac:dyDescent="0.25">
      <c r="A332" s="127">
        <v>2</v>
      </c>
      <c r="B332" s="127">
        <v>2</v>
      </c>
      <c r="C332" s="127">
        <v>2</v>
      </c>
      <c r="D332" s="127">
        <v>1</v>
      </c>
      <c r="E332" s="127"/>
      <c r="F332" s="127" t="s">
        <v>362</v>
      </c>
      <c r="G332" s="127"/>
      <c r="H332" s="127"/>
      <c r="I332" s="127"/>
      <c r="J332" s="129"/>
      <c r="K332" s="129"/>
      <c r="L332" s="127"/>
      <c r="M332" s="129"/>
      <c r="N332" s="129"/>
      <c r="O332" s="129"/>
      <c r="P332" s="309"/>
      <c r="Q332" s="309"/>
      <c r="R332" s="309"/>
      <c r="S332" s="309"/>
    </row>
    <row r="333" spans="1:19" ht="24" x14ac:dyDescent="0.25">
      <c r="A333" s="127">
        <v>2</v>
      </c>
      <c r="B333" s="127">
        <v>2</v>
      </c>
      <c r="C333" s="127">
        <v>2</v>
      </c>
      <c r="D333" s="127">
        <v>2</v>
      </c>
      <c r="E333" s="127"/>
      <c r="F333" s="127" t="s">
        <v>363</v>
      </c>
      <c r="G333" s="127"/>
      <c r="H333" s="127"/>
      <c r="I333" s="127"/>
      <c r="J333" s="129"/>
      <c r="K333" s="129"/>
      <c r="L333" s="127"/>
      <c r="M333" s="129"/>
      <c r="N333" s="129"/>
      <c r="O333" s="129"/>
      <c r="P333" s="309"/>
      <c r="Q333" s="309"/>
      <c r="R333" s="309"/>
      <c r="S333" s="309"/>
    </row>
    <row r="334" spans="1:19" x14ac:dyDescent="0.25">
      <c r="A334" s="127">
        <v>2</v>
      </c>
      <c r="B334" s="127">
        <v>2</v>
      </c>
      <c r="C334" s="127">
        <v>2</v>
      </c>
      <c r="D334" s="127">
        <v>9</v>
      </c>
      <c r="E334" s="127"/>
      <c r="F334" s="127" t="s">
        <v>364</v>
      </c>
      <c r="G334" s="127"/>
      <c r="H334" s="127"/>
      <c r="I334" s="127"/>
      <c r="J334" s="129"/>
      <c r="K334" s="129"/>
      <c r="L334" s="127"/>
      <c r="M334" s="129"/>
      <c r="N334" s="129"/>
      <c r="O334" s="129"/>
      <c r="P334" s="309"/>
      <c r="Q334" s="309"/>
      <c r="R334" s="309"/>
      <c r="S334" s="309"/>
    </row>
    <row r="335" spans="1:19" x14ac:dyDescent="0.25">
      <c r="A335" s="127">
        <v>2</v>
      </c>
      <c r="B335" s="127">
        <v>2</v>
      </c>
      <c r="C335" s="127">
        <v>3</v>
      </c>
      <c r="D335" s="127"/>
      <c r="E335" s="127"/>
      <c r="F335" s="128" t="s">
        <v>123</v>
      </c>
      <c r="G335" s="128"/>
      <c r="H335" s="128"/>
      <c r="I335" s="128"/>
      <c r="J335" s="129"/>
      <c r="K335" s="129"/>
      <c r="L335" s="128"/>
      <c r="M335" s="129"/>
      <c r="N335" s="129"/>
      <c r="O335" s="129"/>
      <c r="P335" s="309"/>
      <c r="Q335" s="309"/>
      <c r="R335" s="309"/>
      <c r="S335" s="309"/>
    </row>
    <row r="336" spans="1:19" ht="24" x14ac:dyDescent="0.25">
      <c r="A336" s="127">
        <v>2</v>
      </c>
      <c r="B336" s="127">
        <v>2</v>
      </c>
      <c r="C336" s="127">
        <v>3</v>
      </c>
      <c r="D336" s="127">
        <v>1</v>
      </c>
      <c r="E336" s="127"/>
      <c r="F336" s="127" t="s">
        <v>365</v>
      </c>
      <c r="G336" s="127"/>
      <c r="H336" s="127"/>
      <c r="I336" s="127"/>
      <c r="J336" s="129"/>
      <c r="K336" s="129"/>
      <c r="L336" s="127"/>
      <c r="M336" s="129"/>
      <c r="N336" s="129"/>
      <c r="O336" s="129"/>
      <c r="P336" s="309"/>
      <c r="Q336" s="309"/>
      <c r="R336" s="309"/>
      <c r="S336" s="309"/>
    </row>
    <row r="337" spans="1:19" ht="24" x14ac:dyDescent="0.25">
      <c r="A337" s="127">
        <v>2</v>
      </c>
      <c r="B337" s="127">
        <v>2</v>
      </c>
      <c r="C337" s="127">
        <v>3</v>
      </c>
      <c r="D337" s="127">
        <v>2</v>
      </c>
      <c r="E337" s="127"/>
      <c r="F337" s="127" t="s">
        <v>366</v>
      </c>
      <c r="G337" s="127"/>
      <c r="H337" s="127"/>
      <c r="I337" s="127"/>
      <c r="J337" s="129"/>
      <c r="K337" s="129"/>
      <c r="L337" s="127"/>
      <c r="M337" s="129"/>
      <c r="N337" s="129"/>
      <c r="O337" s="129"/>
      <c r="P337" s="309"/>
      <c r="Q337" s="309"/>
      <c r="R337" s="309"/>
      <c r="S337" s="309"/>
    </row>
    <row r="338" spans="1:19" ht="24" x14ac:dyDescent="0.25">
      <c r="A338" s="127">
        <v>2</v>
      </c>
      <c r="B338" s="127">
        <v>2</v>
      </c>
      <c r="C338" s="127">
        <v>3</v>
      </c>
      <c r="D338" s="127">
        <v>3</v>
      </c>
      <c r="E338" s="127"/>
      <c r="F338" s="127" t="s">
        <v>367</v>
      </c>
      <c r="G338" s="127"/>
      <c r="H338" s="127"/>
      <c r="I338" s="127"/>
      <c r="J338" s="129"/>
      <c r="K338" s="129"/>
      <c r="L338" s="127"/>
      <c r="M338" s="129"/>
      <c r="N338" s="129"/>
      <c r="O338" s="129"/>
      <c r="P338" s="309"/>
      <c r="Q338" s="309"/>
      <c r="R338" s="309"/>
      <c r="S338" s="309"/>
    </row>
    <row r="339" spans="1:19" ht="24" x14ac:dyDescent="0.25">
      <c r="A339" s="127">
        <v>2</v>
      </c>
      <c r="B339" s="127">
        <v>2</v>
      </c>
      <c r="C339" s="127">
        <v>3</v>
      </c>
      <c r="D339" s="127">
        <v>4</v>
      </c>
      <c r="E339" s="127"/>
      <c r="F339" s="127" t="s">
        <v>368</v>
      </c>
      <c r="G339" s="127"/>
      <c r="H339" s="127"/>
      <c r="I339" s="127"/>
      <c r="J339" s="129"/>
      <c r="K339" s="129"/>
      <c r="L339" s="127"/>
      <c r="M339" s="129"/>
      <c r="N339" s="129"/>
      <c r="O339" s="129"/>
      <c r="P339" s="309"/>
      <c r="Q339" s="309"/>
      <c r="R339" s="309"/>
      <c r="S339" s="309"/>
    </row>
    <row r="340" spans="1:19" x14ac:dyDescent="0.25">
      <c r="A340" s="127">
        <v>2</v>
      </c>
      <c r="B340" s="127">
        <v>2</v>
      </c>
      <c r="C340" s="127">
        <v>3</v>
      </c>
      <c r="D340" s="127">
        <v>5</v>
      </c>
      <c r="E340" s="127"/>
      <c r="F340" s="127" t="s">
        <v>369</v>
      </c>
      <c r="G340" s="127"/>
      <c r="H340" s="127"/>
      <c r="I340" s="127"/>
      <c r="J340" s="129"/>
      <c r="K340" s="129"/>
      <c r="L340" s="127"/>
      <c r="M340" s="129"/>
      <c r="N340" s="129"/>
      <c r="O340" s="129"/>
      <c r="P340" s="309"/>
      <c r="Q340" s="309"/>
      <c r="R340" s="309"/>
      <c r="S340" s="309"/>
    </row>
    <row r="341" spans="1:19" x14ac:dyDescent="0.25">
      <c r="A341" s="127">
        <v>2</v>
      </c>
      <c r="B341" s="127">
        <v>2</v>
      </c>
      <c r="C341" s="127">
        <v>4</v>
      </c>
      <c r="D341" s="127"/>
      <c r="E341" s="127"/>
      <c r="F341" s="128" t="s">
        <v>125</v>
      </c>
      <c r="G341" s="128"/>
      <c r="H341" s="128"/>
      <c r="I341" s="128"/>
      <c r="J341" s="129"/>
      <c r="K341" s="129"/>
      <c r="L341" s="128"/>
      <c r="M341" s="129"/>
      <c r="N341" s="129"/>
      <c r="O341" s="129"/>
      <c r="P341" s="309"/>
      <c r="Q341" s="309"/>
      <c r="R341" s="309"/>
      <c r="S341" s="309"/>
    </row>
    <row r="342" spans="1:19" x14ac:dyDescent="0.25">
      <c r="A342" s="127">
        <v>2</v>
      </c>
      <c r="B342" s="127">
        <v>2</v>
      </c>
      <c r="C342" s="127">
        <v>4</v>
      </c>
      <c r="D342" s="127">
        <v>1</v>
      </c>
      <c r="E342" s="127"/>
      <c r="F342" s="127" t="s">
        <v>370</v>
      </c>
      <c r="G342" s="127"/>
      <c r="H342" s="127"/>
      <c r="I342" s="127"/>
      <c r="J342" s="129"/>
      <c r="K342" s="129"/>
      <c r="L342" s="127"/>
      <c r="M342" s="129"/>
      <c r="N342" s="129"/>
      <c r="O342" s="129"/>
      <c r="P342" s="309"/>
      <c r="Q342" s="309"/>
      <c r="R342" s="309"/>
      <c r="S342" s="309"/>
    </row>
    <row r="343" spans="1:19" x14ac:dyDescent="0.25">
      <c r="A343" s="127">
        <v>2</v>
      </c>
      <c r="B343" s="127">
        <v>2</v>
      </c>
      <c r="C343" s="127">
        <v>4</v>
      </c>
      <c r="D343" s="127">
        <v>2</v>
      </c>
      <c r="E343" s="127"/>
      <c r="F343" s="127" t="s">
        <v>371</v>
      </c>
      <c r="G343" s="127"/>
      <c r="H343" s="127"/>
      <c r="I343" s="127"/>
      <c r="J343" s="129"/>
      <c r="K343" s="129"/>
      <c r="L343" s="127"/>
      <c r="M343" s="129"/>
      <c r="N343" s="129"/>
      <c r="O343" s="129"/>
      <c r="P343" s="309"/>
      <c r="Q343" s="309"/>
      <c r="R343" s="309"/>
      <c r="S343" s="309"/>
    </row>
    <row r="344" spans="1:19" x14ac:dyDescent="0.25">
      <c r="A344" s="127">
        <v>2</v>
      </c>
      <c r="B344" s="127">
        <v>2</v>
      </c>
      <c r="C344" s="127">
        <v>4</v>
      </c>
      <c r="D344" s="127">
        <v>9</v>
      </c>
      <c r="E344" s="127"/>
      <c r="F344" s="127" t="s">
        <v>372</v>
      </c>
      <c r="G344" s="127"/>
      <c r="H344" s="127"/>
      <c r="I344" s="127"/>
      <c r="J344" s="129"/>
      <c r="K344" s="129"/>
      <c r="L344" s="127"/>
      <c r="M344" s="129"/>
      <c r="N344" s="129"/>
      <c r="O344" s="129"/>
      <c r="P344" s="309"/>
      <c r="Q344" s="309"/>
      <c r="R344" s="309"/>
      <c r="S344" s="309"/>
    </row>
    <row r="345" spans="1:19" ht="24" x14ac:dyDescent="0.25">
      <c r="A345" s="127">
        <v>2</v>
      </c>
      <c r="B345" s="127">
        <v>2</v>
      </c>
      <c r="C345" s="127">
        <v>5</v>
      </c>
      <c r="D345" s="127"/>
      <c r="E345" s="127"/>
      <c r="F345" s="128" t="s">
        <v>373</v>
      </c>
      <c r="G345" s="128"/>
      <c r="H345" s="128"/>
      <c r="I345" s="128"/>
      <c r="J345" s="129"/>
      <c r="K345" s="129"/>
      <c r="L345" s="128"/>
      <c r="M345" s="129"/>
      <c r="N345" s="129"/>
      <c r="O345" s="129"/>
      <c r="P345" s="309"/>
      <c r="Q345" s="309"/>
      <c r="R345" s="309"/>
      <c r="S345" s="309"/>
    </row>
    <row r="346" spans="1:19" x14ac:dyDescent="0.25">
      <c r="A346" s="127">
        <v>2</v>
      </c>
      <c r="B346" s="127">
        <v>2</v>
      </c>
      <c r="C346" s="127">
        <v>5</v>
      </c>
      <c r="D346" s="127">
        <v>1</v>
      </c>
      <c r="E346" s="127"/>
      <c r="F346" s="127" t="s">
        <v>374</v>
      </c>
      <c r="G346" s="127"/>
      <c r="H346" s="127"/>
      <c r="I346" s="127"/>
      <c r="J346" s="129"/>
      <c r="K346" s="129"/>
      <c r="L346" s="127"/>
      <c r="M346" s="129"/>
      <c r="N346" s="129"/>
      <c r="O346" s="129"/>
      <c r="P346" s="309"/>
      <c r="Q346" s="309"/>
      <c r="R346" s="309"/>
      <c r="S346" s="309"/>
    </row>
    <row r="347" spans="1:19" x14ac:dyDescent="0.25">
      <c r="A347" s="127">
        <v>2</v>
      </c>
      <c r="B347" s="127">
        <v>2</v>
      </c>
      <c r="C347" s="127">
        <v>5</v>
      </c>
      <c r="D347" s="127">
        <v>2</v>
      </c>
      <c r="E347" s="127"/>
      <c r="F347" s="127" t="s">
        <v>375</v>
      </c>
      <c r="G347" s="127"/>
      <c r="H347" s="127"/>
      <c r="I347" s="127"/>
      <c r="J347" s="129"/>
      <c r="K347" s="129"/>
      <c r="L347" s="127"/>
      <c r="M347" s="129"/>
      <c r="N347" s="129"/>
      <c r="O347" s="129"/>
      <c r="P347" s="309"/>
      <c r="Q347" s="309"/>
      <c r="R347" s="309"/>
      <c r="S347" s="309"/>
    </row>
    <row r="348" spans="1:19" x14ac:dyDescent="0.25">
      <c r="A348" s="127">
        <v>2</v>
      </c>
      <c r="B348" s="127">
        <v>2</v>
      </c>
      <c r="C348" s="127">
        <v>5</v>
      </c>
      <c r="D348" s="127">
        <v>3</v>
      </c>
      <c r="E348" s="127"/>
      <c r="F348" s="127" t="s">
        <v>376</v>
      </c>
      <c r="G348" s="127"/>
      <c r="H348" s="127"/>
      <c r="I348" s="127"/>
      <c r="J348" s="129"/>
      <c r="K348" s="129"/>
      <c r="L348" s="127"/>
      <c r="M348" s="129"/>
      <c r="N348" s="129"/>
      <c r="O348" s="129"/>
      <c r="P348" s="309"/>
      <c r="Q348" s="309"/>
      <c r="R348" s="309"/>
      <c r="S348" s="309"/>
    </row>
    <row r="349" spans="1:19" ht="24" x14ac:dyDescent="0.25">
      <c r="A349" s="127">
        <v>2</v>
      </c>
      <c r="B349" s="127">
        <v>2</v>
      </c>
      <c r="C349" s="127">
        <v>5</v>
      </c>
      <c r="D349" s="127">
        <v>4</v>
      </c>
      <c r="E349" s="127"/>
      <c r="F349" s="127" t="s">
        <v>377</v>
      </c>
      <c r="G349" s="127"/>
      <c r="H349" s="127"/>
      <c r="I349" s="127"/>
      <c r="J349" s="129"/>
      <c r="K349" s="129"/>
      <c r="L349" s="127"/>
      <c r="M349" s="129"/>
      <c r="N349" s="129"/>
      <c r="O349" s="129"/>
      <c r="P349" s="309"/>
      <c r="Q349" s="309"/>
      <c r="R349" s="309"/>
      <c r="S349" s="309"/>
    </row>
    <row r="350" spans="1:19" ht="24" x14ac:dyDescent="0.25">
      <c r="A350" s="127">
        <v>2</v>
      </c>
      <c r="B350" s="127">
        <v>2</v>
      </c>
      <c r="C350" s="127">
        <v>5</v>
      </c>
      <c r="D350" s="127">
        <v>5</v>
      </c>
      <c r="E350" s="127"/>
      <c r="F350" s="127" t="s">
        <v>378</v>
      </c>
      <c r="G350" s="127"/>
      <c r="H350" s="127"/>
      <c r="I350" s="127"/>
      <c r="J350" s="129"/>
      <c r="K350" s="129"/>
      <c r="L350" s="127"/>
      <c r="M350" s="129"/>
      <c r="N350" s="129"/>
      <c r="O350" s="129"/>
      <c r="P350" s="309"/>
      <c r="Q350" s="309"/>
      <c r="R350" s="309"/>
      <c r="S350" s="309"/>
    </row>
    <row r="351" spans="1:19" x14ac:dyDescent="0.25">
      <c r="A351" s="127">
        <v>2</v>
      </c>
      <c r="B351" s="127">
        <v>2</v>
      </c>
      <c r="C351" s="127">
        <v>5</v>
      </c>
      <c r="D351" s="127">
        <v>6</v>
      </c>
      <c r="E351" s="127"/>
      <c r="F351" s="127" t="s">
        <v>379</v>
      </c>
      <c r="G351" s="127"/>
      <c r="H351" s="127"/>
      <c r="I351" s="127"/>
      <c r="J351" s="129"/>
      <c r="K351" s="129"/>
      <c r="L351" s="127"/>
      <c r="M351" s="129"/>
      <c r="N351" s="129"/>
      <c r="O351" s="129"/>
      <c r="P351" s="309"/>
      <c r="Q351" s="309"/>
      <c r="R351" s="309"/>
      <c r="S351" s="309"/>
    </row>
    <row r="352" spans="1:19" x14ac:dyDescent="0.25">
      <c r="A352" s="127">
        <v>2</v>
      </c>
      <c r="B352" s="127">
        <v>2</v>
      </c>
      <c r="C352" s="127">
        <v>6</v>
      </c>
      <c r="D352" s="127"/>
      <c r="E352" s="127"/>
      <c r="F352" s="128" t="s">
        <v>380</v>
      </c>
      <c r="G352" s="128"/>
      <c r="H352" s="128"/>
      <c r="I352" s="128"/>
      <c r="J352" s="129"/>
      <c r="K352" s="129"/>
      <c r="L352" s="128"/>
      <c r="M352" s="129"/>
      <c r="N352" s="129"/>
      <c r="O352" s="129"/>
      <c r="P352" s="309"/>
      <c r="Q352" s="309"/>
      <c r="R352" s="309"/>
      <c r="S352" s="309"/>
    </row>
    <row r="353" spans="1:19" x14ac:dyDescent="0.25">
      <c r="A353" s="127">
        <v>2</v>
      </c>
      <c r="B353" s="127">
        <v>2</v>
      </c>
      <c r="C353" s="127">
        <v>6</v>
      </c>
      <c r="D353" s="127">
        <v>1</v>
      </c>
      <c r="E353" s="127"/>
      <c r="F353" s="127" t="s">
        <v>381</v>
      </c>
      <c r="G353" s="127"/>
      <c r="H353" s="127"/>
      <c r="I353" s="127"/>
      <c r="J353" s="129"/>
      <c r="K353" s="129"/>
      <c r="L353" s="127"/>
      <c r="M353" s="129"/>
      <c r="N353" s="129"/>
      <c r="O353" s="129"/>
      <c r="P353" s="309"/>
      <c r="Q353" s="309"/>
      <c r="R353" s="309"/>
      <c r="S353" s="309"/>
    </row>
    <row r="354" spans="1:19" x14ac:dyDescent="0.25">
      <c r="A354" s="127">
        <v>2</v>
      </c>
      <c r="B354" s="127">
        <v>2</v>
      </c>
      <c r="C354" s="127">
        <v>6</v>
      </c>
      <c r="D354" s="127">
        <v>2</v>
      </c>
      <c r="E354" s="127"/>
      <c r="F354" s="127" t="s">
        <v>382</v>
      </c>
      <c r="G354" s="127"/>
      <c r="H354" s="127"/>
      <c r="I354" s="127"/>
      <c r="J354" s="129"/>
      <c r="K354" s="129"/>
      <c r="L354" s="127"/>
      <c r="M354" s="129"/>
      <c r="N354" s="129"/>
      <c r="O354" s="129"/>
      <c r="P354" s="309"/>
      <c r="Q354" s="309"/>
      <c r="R354" s="309"/>
      <c r="S354" s="309"/>
    </row>
    <row r="355" spans="1:19" x14ac:dyDescent="0.25">
      <c r="A355" s="127">
        <v>2</v>
      </c>
      <c r="B355" s="127">
        <v>2</v>
      </c>
      <c r="C355" s="127">
        <v>6</v>
      </c>
      <c r="D355" s="127">
        <v>3</v>
      </c>
      <c r="E355" s="127"/>
      <c r="F355" s="127" t="s">
        <v>383</v>
      </c>
      <c r="G355" s="127"/>
      <c r="H355" s="127"/>
      <c r="I355" s="127"/>
      <c r="J355" s="129"/>
      <c r="K355" s="129"/>
      <c r="L355" s="127"/>
      <c r="M355" s="129"/>
      <c r="N355" s="129"/>
      <c r="O355" s="129"/>
      <c r="P355" s="309"/>
      <c r="Q355" s="309"/>
      <c r="R355" s="309"/>
      <c r="S355" s="309"/>
    </row>
    <row r="356" spans="1:19" x14ac:dyDescent="0.25">
      <c r="A356" s="127">
        <v>2</v>
      </c>
      <c r="B356" s="127">
        <v>2</v>
      </c>
      <c r="C356" s="127">
        <v>6</v>
      </c>
      <c r="D356" s="127">
        <v>9</v>
      </c>
      <c r="E356" s="127"/>
      <c r="F356" s="127" t="s">
        <v>384</v>
      </c>
      <c r="G356" s="127"/>
      <c r="H356" s="127"/>
      <c r="I356" s="127"/>
      <c r="J356" s="129"/>
      <c r="K356" s="129"/>
      <c r="L356" s="127"/>
      <c r="M356" s="129"/>
      <c r="N356" s="129"/>
      <c r="O356" s="129"/>
      <c r="P356" s="309"/>
      <c r="Q356" s="309"/>
      <c r="R356" s="309"/>
      <c r="S356" s="309"/>
    </row>
    <row r="357" spans="1:19" x14ac:dyDescent="0.25">
      <c r="A357" s="125">
        <v>3</v>
      </c>
      <c r="B357" s="125"/>
      <c r="C357" s="125"/>
      <c r="D357" s="125"/>
      <c r="E357" s="125"/>
      <c r="F357" s="125" t="s">
        <v>385</v>
      </c>
      <c r="G357" s="151">
        <f>+G358+G362+G392</f>
        <v>3095633.82</v>
      </c>
      <c r="H357" s="151">
        <f t="shared" ref="H357:O357" si="52">+H358+H362+H392</f>
        <v>181999</v>
      </c>
      <c r="I357" s="151">
        <f t="shared" si="52"/>
        <v>0</v>
      </c>
      <c r="J357" s="151">
        <f t="shared" si="52"/>
        <v>3858446.82</v>
      </c>
      <c r="K357" s="151"/>
      <c r="L357" s="151">
        <f>+L358+L362+L392</f>
        <v>3225584.82</v>
      </c>
      <c r="M357" s="151"/>
      <c r="N357" s="151"/>
      <c r="O357" s="151">
        <f t="shared" si="52"/>
        <v>3514551.82</v>
      </c>
      <c r="P357" s="309"/>
      <c r="Q357" s="309"/>
      <c r="R357" s="309"/>
      <c r="S357" s="309"/>
    </row>
    <row r="358" spans="1:19" x14ac:dyDescent="0.25">
      <c r="A358" s="126">
        <v>3</v>
      </c>
      <c r="B358" s="126">
        <v>1</v>
      </c>
      <c r="C358" s="126"/>
      <c r="D358" s="126"/>
      <c r="E358" s="126"/>
      <c r="F358" s="126" t="s">
        <v>386</v>
      </c>
      <c r="G358" s="130">
        <v>0</v>
      </c>
      <c r="H358" s="126"/>
      <c r="I358" s="126"/>
      <c r="J358" s="129"/>
      <c r="K358" s="129"/>
      <c r="L358" s="130">
        <v>0</v>
      </c>
      <c r="M358" s="129"/>
      <c r="N358" s="129"/>
      <c r="O358" s="129"/>
      <c r="P358" s="309"/>
      <c r="Q358" s="309"/>
      <c r="R358" s="309"/>
      <c r="S358" s="309"/>
    </row>
    <row r="359" spans="1:19" x14ac:dyDescent="0.25">
      <c r="A359" s="127">
        <v>3</v>
      </c>
      <c r="B359" s="127">
        <v>1</v>
      </c>
      <c r="C359" s="127">
        <v>1</v>
      </c>
      <c r="D359" s="127"/>
      <c r="E359" s="127"/>
      <c r="F359" s="128" t="s">
        <v>76</v>
      </c>
      <c r="G359" s="128"/>
      <c r="H359" s="128"/>
      <c r="I359" s="128"/>
      <c r="J359" s="129"/>
      <c r="K359" s="129"/>
      <c r="L359" s="128"/>
      <c r="M359" s="129"/>
      <c r="N359" s="129"/>
      <c r="O359" s="129"/>
      <c r="P359" s="309"/>
      <c r="Q359" s="309"/>
      <c r="R359" s="309"/>
      <c r="S359" s="309"/>
    </row>
    <row r="360" spans="1:19" x14ac:dyDescent="0.25">
      <c r="A360" s="127">
        <v>3</v>
      </c>
      <c r="B360" s="127">
        <v>1</v>
      </c>
      <c r="C360" s="127">
        <v>2</v>
      </c>
      <c r="D360" s="127"/>
      <c r="E360" s="127"/>
      <c r="F360" s="128" t="s">
        <v>139</v>
      </c>
      <c r="G360" s="128"/>
      <c r="H360" s="128"/>
      <c r="I360" s="128"/>
      <c r="J360" s="129"/>
      <c r="K360" s="129"/>
      <c r="L360" s="128"/>
      <c r="M360" s="129"/>
      <c r="N360" s="129"/>
      <c r="O360" s="129"/>
      <c r="P360" s="309"/>
      <c r="Q360" s="309"/>
      <c r="R360" s="309"/>
      <c r="S360" s="309"/>
    </row>
    <row r="361" spans="1:19" x14ac:dyDescent="0.25">
      <c r="A361" s="127">
        <v>3</v>
      </c>
      <c r="B361" s="127">
        <v>1</v>
      </c>
      <c r="C361" s="127">
        <v>3</v>
      </c>
      <c r="D361" s="127"/>
      <c r="E361" s="127"/>
      <c r="F361" s="128" t="s">
        <v>203</v>
      </c>
      <c r="G361" s="128"/>
      <c r="H361" s="128"/>
      <c r="I361" s="128"/>
      <c r="J361" s="129"/>
      <c r="K361" s="129"/>
      <c r="L361" s="128"/>
      <c r="M361" s="129"/>
      <c r="N361" s="129"/>
      <c r="O361" s="129"/>
      <c r="P361" s="309"/>
      <c r="Q361" s="309"/>
      <c r="R361" s="309"/>
      <c r="S361" s="309"/>
    </row>
    <row r="362" spans="1:19" x14ac:dyDescent="0.25">
      <c r="A362" s="126">
        <v>3</v>
      </c>
      <c r="B362" s="126">
        <v>2</v>
      </c>
      <c r="C362" s="126"/>
      <c r="D362" s="126"/>
      <c r="E362" s="126"/>
      <c r="F362" s="126" t="s">
        <v>387</v>
      </c>
      <c r="G362" s="150">
        <f>+G363+G364</f>
        <v>-290674.18</v>
      </c>
      <c r="H362" s="150">
        <f t="shared" ref="H362:O362" si="53">+H363+H364</f>
        <v>0</v>
      </c>
      <c r="I362" s="150">
        <f t="shared" si="53"/>
        <v>0</v>
      </c>
      <c r="J362" s="150">
        <f t="shared" si="53"/>
        <v>181731.82</v>
      </c>
      <c r="K362" s="150"/>
      <c r="L362" s="150">
        <f>+L363+L364</f>
        <v>-23232.179999999993</v>
      </c>
      <c r="M362" s="150"/>
      <c r="N362" s="150"/>
      <c r="O362" s="150">
        <f t="shared" si="53"/>
        <v>265734.82</v>
      </c>
      <c r="P362" s="309"/>
      <c r="Q362" s="309"/>
      <c r="R362" s="309"/>
      <c r="S362" s="309"/>
    </row>
    <row r="363" spans="1:19" x14ac:dyDescent="0.25">
      <c r="A363" s="127">
        <v>3</v>
      </c>
      <c r="B363" s="127">
        <v>2</v>
      </c>
      <c r="C363" s="127">
        <v>1</v>
      </c>
      <c r="D363" s="127"/>
      <c r="E363" s="127"/>
      <c r="F363" s="128" t="s">
        <v>388</v>
      </c>
      <c r="G363" s="129"/>
      <c r="H363" s="128"/>
      <c r="I363" s="128"/>
      <c r="J363" s="129">
        <f>+J397-J492</f>
        <v>472406</v>
      </c>
      <c r="K363" s="129"/>
      <c r="L363" s="129">
        <v>-288967</v>
      </c>
      <c r="M363" s="129"/>
      <c r="N363" s="129"/>
      <c r="O363" s="129">
        <v>0</v>
      </c>
      <c r="P363" s="309"/>
      <c r="Q363" s="309"/>
      <c r="R363" s="309"/>
      <c r="S363" s="309"/>
    </row>
    <row r="364" spans="1:19" x14ac:dyDescent="0.25">
      <c r="A364" s="132">
        <v>3</v>
      </c>
      <c r="B364" s="132">
        <v>2</v>
      </c>
      <c r="C364" s="132">
        <v>2</v>
      </c>
      <c r="D364" s="132"/>
      <c r="E364" s="132"/>
      <c r="F364" s="135" t="s">
        <v>143</v>
      </c>
      <c r="G364" s="131">
        <f>SUM(G365:G379)</f>
        <v>-290674.18</v>
      </c>
      <c r="H364" s="131">
        <f t="shared" ref="H364:O364" si="54">SUM(H365:H379)</f>
        <v>0</v>
      </c>
      <c r="I364" s="131">
        <f t="shared" si="54"/>
        <v>0</v>
      </c>
      <c r="J364" s="131">
        <f t="shared" si="54"/>
        <v>-290674.18</v>
      </c>
      <c r="K364" s="131">
        <f t="shared" si="54"/>
        <v>0</v>
      </c>
      <c r="L364" s="131">
        <f>SUM(L365:L379)</f>
        <v>265734.82</v>
      </c>
      <c r="M364" s="131"/>
      <c r="N364" s="131"/>
      <c r="O364" s="131">
        <f t="shared" si="54"/>
        <v>265734.82</v>
      </c>
      <c r="P364" s="309"/>
      <c r="Q364" s="309"/>
      <c r="R364" s="309"/>
      <c r="S364" s="309"/>
    </row>
    <row r="365" spans="1:19" x14ac:dyDescent="0.25">
      <c r="A365" s="127"/>
      <c r="B365" s="127"/>
      <c r="C365" s="127"/>
      <c r="D365" s="127"/>
      <c r="E365" s="127"/>
      <c r="F365" s="127" t="s">
        <v>731</v>
      </c>
      <c r="G365" s="129">
        <v>171921</v>
      </c>
      <c r="H365" s="140">
        <v>0</v>
      </c>
      <c r="I365" s="140">
        <v>0</v>
      </c>
      <c r="J365" s="129">
        <f>G365+I365-H365</f>
        <v>171921</v>
      </c>
      <c r="K365" s="129"/>
      <c r="L365" s="129">
        <v>171921</v>
      </c>
      <c r="M365" s="129"/>
      <c r="N365" s="129"/>
      <c r="O365" s="129">
        <f>L365+N365-M365</f>
        <v>171921</v>
      </c>
      <c r="P365" s="309"/>
      <c r="Q365" s="309"/>
      <c r="R365" s="309"/>
      <c r="S365" s="309"/>
    </row>
    <row r="366" spans="1:19" x14ac:dyDescent="0.25">
      <c r="A366" s="127"/>
      <c r="B366" s="127"/>
      <c r="C366" s="127"/>
      <c r="D366" s="127"/>
      <c r="E366" s="127"/>
      <c r="F366" s="127" t="s">
        <v>731</v>
      </c>
      <c r="G366" s="129">
        <v>-15244</v>
      </c>
      <c r="H366" s="140">
        <v>0</v>
      </c>
      <c r="I366" s="140">
        <v>0</v>
      </c>
      <c r="J366" s="129">
        <f t="shared" ref="J366:J379" si="55">G366+I366-H366</f>
        <v>-15244</v>
      </c>
      <c r="K366" s="129"/>
      <c r="L366" s="129">
        <v>-15244</v>
      </c>
      <c r="M366" s="129"/>
      <c r="N366" s="129"/>
      <c r="O366" s="129">
        <f t="shared" ref="O366:O377" si="56">L366+N366-M366</f>
        <v>-15244</v>
      </c>
      <c r="P366" s="309"/>
      <c r="Q366" s="309"/>
      <c r="R366" s="309"/>
      <c r="S366" s="309"/>
    </row>
    <row r="367" spans="1:19" x14ac:dyDescent="0.25">
      <c r="A367" s="127"/>
      <c r="B367" s="127"/>
      <c r="C367" s="127"/>
      <c r="D367" s="127"/>
      <c r="E367" s="127"/>
      <c r="F367" s="127" t="s">
        <v>731</v>
      </c>
      <c r="G367" s="129">
        <v>167705</v>
      </c>
      <c r="H367" s="140">
        <v>0</v>
      </c>
      <c r="I367" s="140">
        <v>0</v>
      </c>
      <c r="J367" s="129">
        <f t="shared" si="55"/>
        <v>167705</v>
      </c>
      <c r="K367" s="129"/>
      <c r="L367" s="129">
        <v>167705</v>
      </c>
      <c r="M367" s="129"/>
      <c r="N367" s="129"/>
      <c r="O367" s="129">
        <f t="shared" si="56"/>
        <v>167705</v>
      </c>
      <c r="P367" s="309"/>
      <c r="Q367" s="309"/>
      <c r="R367" s="309"/>
      <c r="S367" s="309"/>
    </row>
    <row r="368" spans="1:19" x14ac:dyDescent="0.25">
      <c r="A368" s="127"/>
      <c r="B368" s="127"/>
      <c r="C368" s="127"/>
      <c r="D368" s="127"/>
      <c r="E368" s="127"/>
      <c r="F368" s="127" t="s">
        <v>732</v>
      </c>
      <c r="G368" s="129">
        <v>1158011</v>
      </c>
      <c r="H368" s="140">
        <v>0</v>
      </c>
      <c r="I368" s="140">
        <v>0</v>
      </c>
      <c r="J368" s="129">
        <f t="shared" si="55"/>
        <v>1158011</v>
      </c>
      <c r="K368" s="129"/>
      <c r="L368" s="129">
        <v>1158011</v>
      </c>
      <c r="M368" s="129"/>
      <c r="N368" s="129"/>
      <c r="O368" s="129">
        <f t="shared" si="56"/>
        <v>1158011</v>
      </c>
      <c r="P368" s="309"/>
      <c r="Q368" s="309"/>
      <c r="R368" s="309"/>
      <c r="S368" s="309"/>
    </row>
    <row r="369" spans="1:19" x14ac:dyDescent="0.25">
      <c r="A369" s="127"/>
      <c r="B369" s="127"/>
      <c r="C369" s="127"/>
      <c r="D369" s="127"/>
      <c r="E369" s="127"/>
      <c r="F369" s="127" t="s">
        <v>733</v>
      </c>
      <c r="G369" s="129">
        <v>51255</v>
      </c>
      <c r="H369" s="140">
        <v>0</v>
      </c>
      <c r="I369" s="140">
        <v>0</v>
      </c>
      <c r="J369" s="129">
        <f t="shared" si="55"/>
        <v>51255</v>
      </c>
      <c r="K369" s="129"/>
      <c r="L369" s="129">
        <v>51255</v>
      </c>
      <c r="M369" s="129"/>
      <c r="N369" s="129"/>
      <c r="O369" s="129">
        <f t="shared" si="56"/>
        <v>51255</v>
      </c>
      <c r="P369" s="309"/>
      <c r="Q369" s="309"/>
      <c r="R369" s="309"/>
      <c r="S369" s="309"/>
    </row>
    <row r="370" spans="1:19" x14ac:dyDescent="0.25">
      <c r="A370" s="127"/>
      <c r="B370" s="127"/>
      <c r="C370" s="127"/>
      <c r="D370" s="127"/>
      <c r="E370" s="127"/>
      <c r="F370" s="127" t="s">
        <v>734</v>
      </c>
      <c r="G370" s="129">
        <v>133876</v>
      </c>
      <c r="H370" s="140">
        <v>0</v>
      </c>
      <c r="I370" s="140">
        <v>0</v>
      </c>
      <c r="J370" s="129">
        <f t="shared" si="55"/>
        <v>133876</v>
      </c>
      <c r="K370" s="129"/>
      <c r="L370" s="129">
        <v>133876</v>
      </c>
      <c r="M370" s="129"/>
      <c r="N370" s="129"/>
      <c r="O370" s="129">
        <f t="shared" si="56"/>
        <v>133876</v>
      </c>
      <c r="P370" s="309"/>
      <c r="Q370" s="309"/>
      <c r="R370" s="309"/>
      <c r="S370" s="309"/>
    </row>
    <row r="371" spans="1:19" x14ac:dyDescent="0.25">
      <c r="A371" s="127"/>
      <c r="B371" s="127"/>
      <c r="C371" s="127"/>
      <c r="D371" s="127"/>
      <c r="E371" s="127"/>
      <c r="F371" s="127" t="s">
        <v>735</v>
      </c>
      <c r="G371" s="129">
        <v>242881</v>
      </c>
      <c r="H371" s="140">
        <v>0</v>
      </c>
      <c r="I371" s="140">
        <v>0</v>
      </c>
      <c r="J371" s="129">
        <f t="shared" si="55"/>
        <v>242881</v>
      </c>
      <c r="K371" s="129"/>
      <c r="L371" s="129">
        <v>242881</v>
      </c>
      <c r="M371" s="129"/>
      <c r="N371" s="129"/>
      <c r="O371" s="129">
        <f t="shared" si="56"/>
        <v>242881</v>
      </c>
      <c r="P371" s="309"/>
      <c r="Q371" s="309"/>
      <c r="R371" s="309"/>
      <c r="S371" s="309"/>
    </row>
    <row r="372" spans="1:19" x14ac:dyDescent="0.25">
      <c r="A372" s="127"/>
      <c r="B372" s="127"/>
      <c r="C372" s="127"/>
      <c r="D372" s="127"/>
      <c r="E372" s="127"/>
      <c r="F372" s="127" t="s">
        <v>736</v>
      </c>
      <c r="G372" s="129">
        <v>-787864</v>
      </c>
      <c r="H372" s="140">
        <v>0</v>
      </c>
      <c r="I372" s="140">
        <v>0</v>
      </c>
      <c r="J372" s="129">
        <f t="shared" si="55"/>
        <v>-787864</v>
      </c>
      <c r="K372" s="129"/>
      <c r="L372" s="129">
        <v>-787864</v>
      </c>
      <c r="M372" s="129"/>
      <c r="N372" s="129"/>
      <c r="O372" s="129">
        <f t="shared" si="56"/>
        <v>-787864</v>
      </c>
      <c r="P372" s="309"/>
      <c r="Q372" s="309"/>
      <c r="R372" s="309"/>
      <c r="S372" s="309"/>
    </row>
    <row r="373" spans="1:19" x14ac:dyDescent="0.25">
      <c r="A373" s="127"/>
      <c r="B373" s="127"/>
      <c r="C373" s="127"/>
      <c r="D373" s="127"/>
      <c r="E373" s="127"/>
      <c r="F373" s="127" t="s">
        <v>737</v>
      </c>
      <c r="G373" s="129">
        <v>-398698</v>
      </c>
      <c r="H373" s="140">
        <v>0</v>
      </c>
      <c r="I373" s="140">
        <v>0</v>
      </c>
      <c r="J373" s="129">
        <f t="shared" si="55"/>
        <v>-398698</v>
      </c>
      <c r="K373" s="129"/>
      <c r="L373" s="129">
        <v>-398698</v>
      </c>
      <c r="M373" s="129"/>
      <c r="N373" s="129"/>
      <c r="O373" s="129">
        <f t="shared" si="56"/>
        <v>-398698</v>
      </c>
      <c r="P373" s="309"/>
      <c r="Q373" s="309"/>
      <c r="R373" s="309"/>
      <c r="S373" s="309"/>
    </row>
    <row r="374" spans="1:19" x14ac:dyDescent="0.25">
      <c r="A374" s="127"/>
      <c r="B374" s="127"/>
      <c r="C374" s="127"/>
      <c r="D374" s="127"/>
      <c r="E374" s="127"/>
      <c r="F374" s="127" t="s">
        <v>738</v>
      </c>
      <c r="G374" s="129">
        <v>-110260</v>
      </c>
      <c r="H374" s="140">
        <v>0</v>
      </c>
      <c r="I374" s="140">
        <v>0</v>
      </c>
      <c r="J374" s="129">
        <f t="shared" si="55"/>
        <v>-110260</v>
      </c>
      <c r="K374" s="129"/>
      <c r="L374" s="129">
        <v>-110260</v>
      </c>
      <c r="M374" s="129"/>
      <c r="N374" s="129"/>
      <c r="O374" s="129">
        <f t="shared" si="56"/>
        <v>-110260</v>
      </c>
      <c r="P374" s="309"/>
      <c r="Q374" s="309"/>
      <c r="R374" s="309"/>
      <c r="S374" s="309"/>
    </row>
    <row r="375" spans="1:19" x14ac:dyDescent="0.25">
      <c r="A375" s="127"/>
      <c r="B375" s="127"/>
      <c r="C375" s="127"/>
      <c r="D375" s="127"/>
      <c r="E375" s="127"/>
      <c r="F375" s="127" t="s">
        <v>739</v>
      </c>
      <c r="G375" s="129">
        <v>-310978</v>
      </c>
      <c r="H375" s="140">
        <v>0</v>
      </c>
      <c r="I375" s="140">
        <v>0</v>
      </c>
      <c r="J375" s="129">
        <f t="shared" si="55"/>
        <v>-310978</v>
      </c>
      <c r="K375" s="129"/>
      <c r="L375" s="129">
        <v>-310978</v>
      </c>
      <c r="M375" s="129"/>
      <c r="N375" s="129"/>
      <c r="O375" s="129">
        <f t="shared" si="56"/>
        <v>-310978</v>
      </c>
      <c r="P375" s="309"/>
      <c r="Q375" s="309"/>
      <c r="R375" s="309"/>
      <c r="S375" s="309"/>
    </row>
    <row r="376" spans="1:19" x14ac:dyDescent="0.25">
      <c r="A376" s="127"/>
      <c r="B376" s="127"/>
      <c r="C376" s="127"/>
      <c r="D376" s="127"/>
      <c r="E376" s="127"/>
      <c r="F376" s="127" t="s">
        <v>740</v>
      </c>
      <c r="G376" s="129">
        <v>-36870.18</v>
      </c>
      <c r="H376" s="140">
        <v>0</v>
      </c>
      <c r="I376" s="140">
        <v>0</v>
      </c>
      <c r="J376" s="129">
        <f t="shared" si="55"/>
        <v>-36870.18</v>
      </c>
      <c r="K376" s="129"/>
      <c r="L376" s="129">
        <v>-36870.18</v>
      </c>
      <c r="M376" s="129"/>
      <c r="N376" s="129"/>
      <c r="O376" s="129">
        <f t="shared" si="56"/>
        <v>-36870.18</v>
      </c>
      <c r="P376" s="309"/>
      <c r="Q376" s="309"/>
      <c r="R376" s="309"/>
      <c r="S376" s="309"/>
    </row>
    <row r="377" spans="1:19" x14ac:dyDescent="0.25">
      <c r="A377" s="127"/>
      <c r="B377" s="127"/>
      <c r="C377" s="127"/>
      <c r="D377" s="127"/>
      <c r="E377" s="127"/>
      <c r="F377" s="127" t="s">
        <v>741</v>
      </c>
      <c r="G377" s="140">
        <v>0</v>
      </c>
      <c r="H377" s="140">
        <v>0</v>
      </c>
      <c r="I377" s="140">
        <v>0</v>
      </c>
      <c r="J377" s="129">
        <f t="shared" si="55"/>
        <v>0</v>
      </c>
      <c r="K377" s="129"/>
      <c r="L377" s="140">
        <v>0</v>
      </c>
      <c r="M377" s="129"/>
      <c r="N377" s="129"/>
      <c r="O377" s="129">
        <f t="shared" si="56"/>
        <v>0</v>
      </c>
      <c r="P377" s="309"/>
      <c r="Q377" s="309"/>
      <c r="R377" s="309"/>
      <c r="S377" s="309"/>
    </row>
    <row r="378" spans="1:19" x14ac:dyDescent="0.25">
      <c r="A378" s="127"/>
      <c r="B378" s="127"/>
      <c r="C378" s="127"/>
      <c r="D378" s="127"/>
      <c r="E378" s="127"/>
      <c r="F378" s="127" t="s">
        <v>1121</v>
      </c>
      <c r="G378" s="140">
        <v>-288967</v>
      </c>
      <c r="H378" s="140">
        <v>0</v>
      </c>
      <c r="I378" s="140">
        <v>0</v>
      </c>
      <c r="J378" s="129">
        <f t="shared" si="55"/>
        <v>-288967</v>
      </c>
      <c r="K378" s="129"/>
      <c r="L378" s="140"/>
      <c r="M378" s="129"/>
      <c r="N378" s="129"/>
      <c r="O378" s="129"/>
      <c r="P378" s="309"/>
      <c r="Q378" s="309"/>
      <c r="R378" s="309"/>
      <c r="S378" s="309"/>
    </row>
    <row r="379" spans="1:19" x14ac:dyDescent="0.25">
      <c r="A379" s="127"/>
      <c r="B379" s="127"/>
      <c r="C379" s="127"/>
      <c r="D379" s="127"/>
      <c r="E379" s="127"/>
      <c r="F379" s="127" t="s">
        <v>1246</v>
      </c>
      <c r="G379" s="140">
        <v>-267442</v>
      </c>
      <c r="H379" s="140">
        <v>0</v>
      </c>
      <c r="I379" s="140">
        <v>0</v>
      </c>
      <c r="J379" s="129">
        <f t="shared" si="55"/>
        <v>-267442</v>
      </c>
      <c r="K379" s="129"/>
      <c r="L379" s="140"/>
      <c r="M379" s="129"/>
      <c r="N379" s="129"/>
      <c r="O379" s="129">
        <f t="shared" ref="O379" si="57">L379+N379-M379</f>
        <v>0</v>
      </c>
      <c r="P379" s="309"/>
      <c r="Q379" s="309"/>
      <c r="R379" s="309"/>
      <c r="S379" s="309"/>
    </row>
    <row r="380" spans="1:19" x14ac:dyDescent="0.25">
      <c r="A380" s="127">
        <v>3</v>
      </c>
      <c r="B380" s="127">
        <v>2</v>
      </c>
      <c r="C380" s="127">
        <v>3</v>
      </c>
      <c r="D380" s="127"/>
      <c r="E380" s="127"/>
      <c r="F380" s="128" t="s">
        <v>144</v>
      </c>
      <c r="G380" s="471"/>
      <c r="H380" s="128"/>
      <c r="I380" s="128"/>
      <c r="J380" s="129"/>
      <c r="K380" s="129"/>
      <c r="L380" s="471"/>
      <c r="M380" s="129"/>
      <c r="N380" s="129"/>
      <c r="O380" s="129"/>
      <c r="P380" s="309"/>
      <c r="Q380" s="309"/>
      <c r="R380" s="309"/>
      <c r="S380" s="309"/>
    </row>
    <row r="381" spans="1:19" x14ac:dyDescent="0.25">
      <c r="A381" s="127">
        <v>3</v>
      </c>
      <c r="B381" s="127">
        <v>2</v>
      </c>
      <c r="C381" s="127">
        <v>3</v>
      </c>
      <c r="D381" s="127">
        <v>1</v>
      </c>
      <c r="E381" s="127"/>
      <c r="F381" s="127" t="s">
        <v>389</v>
      </c>
      <c r="G381" s="127"/>
      <c r="H381" s="127"/>
      <c r="I381" s="127"/>
      <c r="J381" s="129"/>
      <c r="K381" s="129"/>
      <c r="L381" s="127"/>
      <c r="M381" s="129"/>
      <c r="N381" s="129"/>
      <c r="O381" s="129"/>
      <c r="P381" s="309"/>
      <c r="Q381" s="309"/>
      <c r="R381" s="309"/>
      <c r="S381" s="309"/>
    </row>
    <row r="382" spans="1:19" x14ac:dyDescent="0.25">
      <c r="A382" s="127">
        <v>3</v>
      </c>
      <c r="B382" s="127">
        <v>2</v>
      </c>
      <c r="C382" s="127">
        <v>3</v>
      </c>
      <c r="D382" s="127">
        <v>2</v>
      </c>
      <c r="E382" s="127"/>
      <c r="F382" s="127" t="s">
        <v>390</v>
      </c>
      <c r="G382" s="127"/>
      <c r="H382" s="127"/>
      <c r="I382" s="127"/>
      <c r="J382" s="129"/>
      <c r="K382" s="129"/>
      <c r="L382" s="127"/>
      <c r="M382" s="129"/>
      <c r="N382" s="129"/>
      <c r="O382" s="129"/>
      <c r="P382" s="309"/>
      <c r="Q382" s="309"/>
      <c r="R382" s="309"/>
      <c r="S382" s="309"/>
    </row>
    <row r="383" spans="1:19" x14ac:dyDescent="0.25">
      <c r="A383" s="127">
        <v>3</v>
      </c>
      <c r="B383" s="127">
        <v>2</v>
      </c>
      <c r="C383" s="127">
        <v>3</v>
      </c>
      <c r="D383" s="127">
        <v>3</v>
      </c>
      <c r="E383" s="127"/>
      <c r="F383" s="127" t="s">
        <v>391</v>
      </c>
      <c r="G383" s="127"/>
      <c r="H383" s="127"/>
      <c r="I383" s="127"/>
      <c r="J383" s="129"/>
      <c r="K383" s="129"/>
      <c r="L383" s="127"/>
      <c r="M383" s="129"/>
      <c r="N383" s="129"/>
      <c r="O383" s="129"/>
      <c r="P383" s="309"/>
      <c r="Q383" s="309"/>
      <c r="R383" s="309"/>
      <c r="S383" s="309"/>
    </row>
    <row r="384" spans="1:19" x14ac:dyDescent="0.25">
      <c r="A384" s="127">
        <v>3</v>
      </c>
      <c r="B384" s="127">
        <v>2</v>
      </c>
      <c r="C384" s="127">
        <v>3</v>
      </c>
      <c r="D384" s="127">
        <v>9</v>
      </c>
      <c r="E384" s="127"/>
      <c r="F384" s="127" t="s">
        <v>392</v>
      </c>
      <c r="G384" s="127"/>
      <c r="H384" s="127"/>
      <c r="I384" s="127"/>
      <c r="J384" s="129"/>
      <c r="K384" s="129"/>
      <c r="L384" s="127"/>
      <c r="M384" s="129"/>
      <c r="N384" s="129"/>
      <c r="O384" s="129"/>
      <c r="P384" s="309"/>
      <c r="Q384" s="309"/>
      <c r="R384" s="309"/>
      <c r="S384" s="309"/>
    </row>
    <row r="385" spans="1:19" x14ac:dyDescent="0.25">
      <c r="A385" s="127">
        <v>3</v>
      </c>
      <c r="B385" s="127">
        <v>2</v>
      </c>
      <c r="C385" s="127">
        <v>4</v>
      </c>
      <c r="D385" s="127"/>
      <c r="E385" s="127"/>
      <c r="F385" s="128" t="s">
        <v>145</v>
      </c>
      <c r="G385" s="128"/>
      <c r="H385" s="128"/>
      <c r="I385" s="128"/>
      <c r="J385" s="129"/>
      <c r="K385" s="129"/>
      <c r="L385" s="128"/>
      <c r="M385" s="129"/>
      <c r="N385" s="129"/>
      <c r="O385" s="129"/>
      <c r="P385" s="309"/>
      <c r="Q385" s="309"/>
      <c r="R385" s="309"/>
      <c r="S385" s="309"/>
    </row>
    <row r="386" spans="1:19" x14ac:dyDescent="0.25">
      <c r="A386" s="127">
        <v>3</v>
      </c>
      <c r="B386" s="127">
        <v>2</v>
      </c>
      <c r="C386" s="127">
        <v>4</v>
      </c>
      <c r="D386" s="127">
        <v>1</v>
      </c>
      <c r="E386" s="127"/>
      <c r="F386" s="127" t="s">
        <v>393</v>
      </c>
      <c r="G386" s="127"/>
      <c r="H386" s="127"/>
      <c r="I386" s="127"/>
      <c r="J386" s="129"/>
      <c r="K386" s="129"/>
      <c r="L386" s="127"/>
      <c r="M386" s="129"/>
      <c r="N386" s="129"/>
      <c r="O386" s="129"/>
      <c r="P386" s="309"/>
      <c r="Q386" s="309"/>
      <c r="R386" s="309"/>
      <c r="S386" s="309"/>
    </row>
    <row r="387" spans="1:19" x14ac:dyDescent="0.25">
      <c r="A387" s="127">
        <v>3</v>
      </c>
      <c r="B387" s="127">
        <v>2</v>
      </c>
      <c r="C387" s="127">
        <v>4</v>
      </c>
      <c r="D387" s="127">
        <v>2</v>
      </c>
      <c r="E387" s="127"/>
      <c r="F387" s="127" t="s">
        <v>394</v>
      </c>
      <c r="G387" s="127"/>
      <c r="H387" s="127"/>
      <c r="I387" s="127"/>
      <c r="J387" s="129"/>
      <c r="K387" s="129"/>
      <c r="L387" s="127"/>
      <c r="M387" s="129"/>
      <c r="N387" s="129"/>
      <c r="O387" s="129"/>
      <c r="P387" s="309"/>
      <c r="Q387" s="309"/>
      <c r="R387" s="309"/>
      <c r="S387" s="309"/>
    </row>
    <row r="388" spans="1:19" x14ac:dyDescent="0.25">
      <c r="A388" s="127">
        <v>3</v>
      </c>
      <c r="B388" s="127">
        <v>2</v>
      </c>
      <c r="C388" s="127">
        <v>4</v>
      </c>
      <c r="D388" s="127">
        <v>3</v>
      </c>
      <c r="E388" s="127"/>
      <c r="F388" s="127" t="s">
        <v>395</v>
      </c>
      <c r="G388" s="127"/>
      <c r="H388" s="127"/>
      <c r="I388" s="127"/>
      <c r="J388" s="129"/>
      <c r="K388" s="129"/>
      <c r="L388" s="127"/>
      <c r="M388" s="129"/>
      <c r="N388" s="129"/>
      <c r="O388" s="129"/>
      <c r="P388" s="309"/>
      <c r="Q388" s="309"/>
      <c r="R388" s="309"/>
      <c r="S388" s="309"/>
    </row>
    <row r="389" spans="1:19" ht="24" x14ac:dyDescent="0.25">
      <c r="A389" s="127">
        <v>3</v>
      </c>
      <c r="B389" s="127">
        <v>2</v>
      </c>
      <c r="C389" s="127">
        <v>5</v>
      </c>
      <c r="D389" s="127"/>
      <c r="E389" s="127"/>
      <c r="F389" s="128" t="s">
        <v>146</v>
      </c>
      <c r="G389" s="128"/>
      <c r="H389" s="128"/>
      <c r="I389" s="128"/>
      <c r="J389" s="129"/>
      <c r="K389" s="129"/>
      <c r="L389" s="128"/>
      <c r="M389" s="129"/>
      <c r="N389" s="129"/>
      <c r="O389" s="129"/>
      <c r="P389" s="309"/>
      <c r="Q389" s="309"/>
      <c r="R389" s="309"/>
      <c r="S389" s="309"/>
    </row>
    <row r="390" spans="1:19" x14ac:dyDescent="0.25">
      <c r="A390" s="127">
        <v>3</v>
      </c>
      <c r="B390" s="127">
        <v>2</v>
      </c>
      <c r="C390" s="127">
        <v>5</v>
      </c>
      <c r="D390" s="127">
        <v>1</v>
      </c>
      <c r="E390" s="127"/>
      <c r="F390" s="127" t="s">
        <v>396</v>
      </c>
      <c r="G390" s="127"/>
      <c r="H390" s="127"/>
      <c r="I390" s="127"/>
      <c r="J390" s="129"/>
      <c r="K390" s="129"/>
      <c r="L390" s="127"/>
      <c r="M390" s="129"/>
      <c r="N390" s="129"/>
      <c r="O390" s="129"/>
      <c r="P390" s="309"/>
      <c r="Q390" s="309"/>
      <c r="R390" s="309"/>
      <c r="S390" s="309"/>
    </row>
    <row r="391" spans="1:19" x14ac:dyDescent="0.25">
      <c r="A391" s="127">
        <v>3</v>
      </c>
      <c r="B391" s="127">
        <v>2</v>
      </c>
      <c r="C391" s="127">
        <v>5</v>
      </c>
      <c r="D391" s="127">
        <v>2</v>
      </c>
      <c r="E391" s="127"/>
      <c r="F391" s="127" t="s">
        <v>397</v>
      </c>
      <c r="G391" s="127"/>
      <c r="H391" s="127"/>
      <c r="I391" s="127"/>
      <c r="J391" s="129"/>
      <c r="K391" s="129"/>
      <c r="L391" s="127"/>
      <c r="M391" s="129"/>
      <c r="N391" s="129"/>
      <c r="O391" s="129"/>
      <c r="P391" s="309"/>
      <c r="Q391" s="309"/>
      <c r="R391" s="309"/>
      <c r="S391" s="309"/>
    </row>
    <row r="392" spans="1:19" ht="24" x14ac:dyDescent="0.25">
      <c r="A392" s="126">
        <v>3</v>
      </c>
      <c r="B392" s="126">
        <v>3</v>
      </c>
      <c r="C392" s="126"/>
      <c r="D392" s="126"/>
      <c r="E392" s="126"/>
      <c r="F392" s="126" t="s">
        <v>398</v>
      </c>
      <c r="G392" s="145">
        <f>SUM(G393:G394)</f>
        <v>3386308</v>
      </c>
      <c r="H392" s="145">
        <f>SUM(H393:H394)</f>
        <v>181999</v>
      </c>
      <c r="I392" s="145">
        <f t="shared" ref="I392:J392" si="58">SUM(I393:I394)</f>
        <v>0</v>
      </c>
      <c r="J392" s="145">
        <f t="shared" si="58"/>
        <v>3676715</v>
      </c>
      <c r="K392" s="130"/>
      <c r="L392" s="145">
        <f>SUM(L393:L394)</f>
        <v>3248817</v>
      </c>
      <c r="M392" s="145"/>
      <c r="N392" s="145"/>
      <c r="O392" s="145">
        <f t="shared" ref="O392" si="59">SUM(O393:O394)</f>
        <v>3248817</v>
      </c>
      <c r="P392" s="130" t="s">
        <v>399</v>
      </c>
      <c r="Q392" s="309"/>
      <c r="R392" s="309"/>
      <c r="S392" s="309"/>
    </row>
    <row r="393" spans="1:19" x14ac:dyDescent="0.25">
      <c r="A393" s="127">
        <v>3</v>
      </c>
      <c r="B393" s="127">
        <v>3</v>
      </c>
      <c r="C393" s="127">
        <v>1</v>
      </c>
      <c r="D393" s="127"/>
      <c r="E393" s="127"/>
      <c r="F393" s="128" t="s">
        <v>148</v>
      </c>
      <c r="G393" s="128"/>
      <c r="H393" s="128"/>
      <c r="I393" s="128"/>
      <c r="J393" s="129">
        <v>472406</v>
      </c>
      <c r="K393" s="129"/>
      <c r="L393" s="128"/>
      <c r="M393" s="129"/>
      <c r="N393" s="129"/>
      <c r="O393" s="129"/>
      <c r="P393" s="309"/>
      <c r="Q393" s="309"/>
      <c r="R393" s="309"/>
      <c r="S393" s="309"/>
    </row>
    <row r="394" spans="1:19" x14ac:dyDescent="0.25">
      <c r="A394" s="127">
        <v>3</v>
      </c>
      <c r="B394" s="127">
        <v>3</v>
      </c>
      <c r="C394" s="127">
        <v>2</v>
      </c>
      <c r="D394" s="127"/>
      <c r="E394" s="127"/>
      <c r="F394" s="128" t="s">
        <v>149</v>
      </c>
      <c r="G394" s="129">
        <f>SUM(G395:G396)</f>
        <v>3386308</v>
      </c>
      <c r="H394" s="129">
        <f t="shared" ref="H394:O394" si="60">SUM(H395:H396)</f>
        <v>181999</v>
      </c>
      <c r="I394" s="129">
        <f t="shared" si="60"/>
        <v>0</v>
      </c>
      <c r="J394" s="129">
        <f t="shared" si="60"/>
        <v>3204309</v>
      </c>
      <c r="K394" s="129"/>
      <c r="L394" s="129">
        <f>SUM(L395:L396)</f>
        <v>3248817</v>
      </c>
      <c r="M394" s="129"/>
      <c r="N394" s="129"/>
      <c r="O394" s="129">
        <f t="shared" si="60"/>
        <v>3248817</v>
      </c>
      <c r="P394" s="309"/>
      <c r="Q394" s="309"/>
      <c r="R394" s="309"/>
      <c r="S394" s="309"/>
    </row>
    <row r="395" spans="1:19" x14ac:dyDescent="0.25">
      <c r="A395" s="127"/>
      <c r="B395" s="127"/>
      <c r="C395" s="127"/>
      <c r="D395" s="127"/>
      <c r="E395" s="127"/>
      <c r="F395" s="127" t="s">
        <v>124</v>
      </c>
      <c r="G395" s="140">
        <v>2518887</v>
      </c>
      <c r="H395" s="140">
        <v>181999</v>
      </c>
      <c r="I395" s="140">
        <v>0</v>
      </c>
      <c r="J395" s="129">
        <f>+G395+I395-H395</f>
        <v>2336888</v>
      </c>
      <c r="K395" s="129"/>
      <c r="L395" s="140">
        <v>2381396</v>
      </c>
      <c r="M395" s="129"/>
      <c r="N395" s="129"/>
      <c r="O395" s="129">
        <f>L395+M395-N395</f>
        <v>2381396</v>
      </c>
      <c r="P395" s="309"/>
      <c r="Q395" s="309"/>
      <c r="R395" s="309"/>
      <c r="S395" s="309"/>
    </row>
    <row r="396" spans="1:19" x14ac:dyDescent="0.25">
      <c r="A396" s="127"/>
      <c r="B396" s="127"/>
      <c r="C396" s="127"/>
      <c r="D396" s="127"/>
      <c r="E396" s="127"/>
      <c r="F396" s="127" t="s">
        <v>755</v>
      </c>
      <c r="G396" s="140">
        <v>867421</v>
      </c>
      <c r="H396" s="140"/>
      <c r="I396" s="140"/>
      <c r="J396" s="129">
        <f>G396-H396+I396</f>
        <v>867421</v>
      </c>
      <c r="K396" s="129"/>
      <c r="L396" s="140">
        <v>867421</v>
      </c>
      <c r="M396" s="129"/>
      <c r="N396" s="129"/>
      <c r="O396" s="129">
        <f>L396+M396-N396</f>
        <v>867421</v>
      </c>
      <c r="P396" s="309"/>
      <c r="Q396" s="309"/>
      <c r="R396" s="309"/>
      <c r="S396" s="309"/>
    </row>
    <row r="397" spans="1:19" x14ac:dyDescent="0.25">
      <c r="A397" s="125">
        <v>4</v>
      </c>
      <c r="B397" s="125"/>
      <c r="C397" s="125"/>
      <c r="D397" s="125"/>
      <c r="E397" s="125"/>
      <c r="F397" s="136" t="s">
        <v>2</v>
      </c>
      <c r="G397" s="146">
        <f t="shared" ref="G397" si="61">G398+G460</f>
        <v>15928878</v>
      </c>
      <c r="H397" s="146">
        <f t="shared" ref="H397" si="62">H398+H460</f>
        <v>0</v>
      </c>
      <c r="I397" s="146">
        <f>I398+I460</f>
        <v>5903496</v>
      </c>
      <c r="J397" s="146">
        <f t="shared" ref="J397" si="63">J398+J460</f>
        <v>5903496</v>
      </c>
      <c r="K397" s="146"/>
      <c r="L397" s="146">
        <f t="shared" ref="L397" si="64">L398+L460</f>
        <v>26884867</v>
      </c>
      <c r="M397" s="146"/>
      <c r="N397" s="146"/>
      <c r="O397" s="146">
        <f t="shared" ref="O397" si="65">O398+O460</f>
        <v>26884867</v>
      </c>
      <c r="P397" s="309"/>
      <c r="Q397" s="309"/>
      <c r="R397" s="309"/>
      <c r="S397" s="309"/>
    </row>
    <row r="398" spans="1:19" x14ac:dyDescent="0.25">
      <c r="A398" s="126">
        <v>4</v>
      </c>
      <c r="B398" s="126">
        <v>1</v>
      </c>
      <c r="C398" s="126"/>
      <c r="D398" s="126"/>
      <c r="E398" s="126"/>
      <c r="F398" s="126" t="s">
        <v>400</v>
      </c>
      <c r="G398" s="145">
        <f>+G416+G430+G439</f>
        <v>3927598</v>
      </c>
      <c r="H398" s="145">
        <f t="shared" ref="H398:I398" si="66">+H416+H430+H439</f>
        <v>0</v>
      </c>
      <c r="I398" s="145">
        <f t="shared" si="66"/>
        <v>3350496</v>
      </c>
      <c r="J398" s="145">
        <f t="shared" ref="J398" si="67">+J416+J430+J439</f>
        <v>3350496</v>
      </c>
      <c r="K398" s="145"/>
      <c r="L398" s="145">
        <f>+L416+L430+L439</f>
        <v>3504813</v>
      </c>
      <c r="M398" s="145"/>
      <c r="N398" s="145"/>
      <c r="O398" s="145">
        <f t="shared" ref="O398" si="68">+O416+O430+O439</f>
        <v>3504813</v>
      </c>
      <c r="P398" s="309"/>
      <c r="Q398" s="309"/>
      <c r="R398" s="309"/>
      <c r="S398" s="309"/>
    </row>
    <row r="399" spans="1:19" x14ac:dyDescent="0.25">
      <c r="A399" s="125">
        <v>4</v>
      </c>
      <c r="B399" s="125">
        <v>1</v>
      </c>
      <c r="C399" s="125">
        <v>1</v>
      </c>
      <c r="D399" s="125"/>
      <c r="E399" s="125"/>
      <c r="F399" s="149" t="s">
        <v>41</v>
      </c>
      <c r="G399" s="149"/>
      <c r="H399" s="149"/>
      <c r="I399" s="149"/>
      <c r="J399" s="145"/>
      <c r="K399" s="145"/>
      <c r="L399" s="149"/>
      <c r="M399" s="145"/>
      <c r="N399" s="145"/>
      <c r="O399" s="145"/>
      <c r="P399" s="309"/>
      <c r="Q399" s="309"/>
      <c r="R399" s="309"/>
      <c r="S399" s="309"/>
    </row>
    <row r="400" spans="1:19" x14ac:dyDescent="0.25">
      <c r="A400" s="127">
        <v>4</v>
      </c>
      <c r="B400" s="127">
        <v>1</v>
      </c>
      <c r="C400" s="127">
        <v>1</v>
      </c>
      <c r="D400" s="127">
        <v>1</v>
      </c>
      <c r="E400" s="127"/>
      <c r="F400" s="127" t="s">
        <v>401</v>
      </c>
      <c r="G400" s="127"/>
      <c r="H400" s="127"/>
      <c r="I400" s="127"/>
      <c r="J400" s="129"/>
      <c r="K400" s="129"/>
      <c r="L400" s="127"/>
      <c r="M400" s="129"/>
      <c r="N400" s="129"/>
      <c r="O400" s="129"/>
      <c r="P400" s="309"/>
      <c r="Q400" s="309"/>
      <c r="R400" s="309"/>
      <c r="S400" s="309"/>
    </row>
    <row r="401" spans="1:19" x14ac:dyDescent="0.25">
      <c r="A401" s="127">
        <v>4</v>
      </c>
      <c r="B401" s="127">
        <v>1</v>
      </c>
      <c r="C401" s="127">
        <v>1</v>
      </c>
      <c r="D401" s="127">
        <v>2</v>
      </c>
      <c r="E401" s="127"/>
      <c r="F401" s="127" t="s">
        <v>402</v>
      </c>
      <c r="G401" s="127"/>
      <c r="H401" s="127"/>
      <c r="I401" s="127"/>
      <c r="J401" s="129"/>
      <c r="K401" s="129"/>
      <c r="L401" s="127"/>
      <c r="M401" s="129"/>
      <c r="N401" s="129"/>
      <c r="O401" s="129"/>
      <c r="P401" s="309"/>
      <c r="Q401" s="309"/>
      <c r="R401" s="309"/>
      <c r="S401" s="309"/>
    </row>
    <row r="402" spans="1:19" ht="24" x14ac:dyDescent="0.25">
      <c r="A402" s="127">
        <v>4</v>
      </c>
      <c r="B402" s="127">
        <v>1</v>
      </c>
      <c r="C402" s="127">
        <v>1</v>
      </c>
      <c r="D402" s="127">
        <v>3</v>
      </c>
      <c r="E402" s="127"/>
      <c r="F402" s="127" t="s">
        <v>403</v>
      </c>
      <c r="G402" s="127"/>
      <c r="H402" s="127"/>
      <c r="I402" s="127"/>
      <c r="J402" s="129"/>
      <c r="K402" s="129"/>
      <c r="L402" s="127"/>
      <c r="M402" s="129"/>
      <c r="N402" s="129"/>
      <c r="O402" s="129"/>
      <c r="P402" s="309"/>
      <c r="Q402" s="309"/>
      <c r="R402" s="309"/>
      <c r="S402" s="309"/>
    </row>
    <row r="403" spans="1:19" x14ac:dyDescent="0.25">
      <c r="A403" s="127">
        <v>4</v>
      </c>
      <c r="B403" s="127">
        <v>1</v>
      </c>
      <c r="C403" s="127">
        <v>1</v>
      </c>
      <c r="D403" s="127">
        <v>4</v>
      </c>
      <c r="E403" s="127"/>
      <c r="F403" s="127" t="s">
        <v>404</v>
      </c>
      <c r="G403" s="127"/>
      <c r="H403" s="127"/>
      <c r="I403" s="127"/>
      <c r="J403" s="129"/>
      <c r="K403" s="129"/>
      <c r="L403" s="127"/>
      <c r="M403" s="129"/>
      <c r="N403" s="129"/>
      <c r="O403" s="129"/>
      <c r="P403" s="309"/>
      <c r="Q403" s="309"/>
      <c r="R403" s="309"/>
      <c r="S403" s="309"/>
    </row>
    <row r="404" spans="1:19" x14ac:dyDescent="0.25">
      <c r="A404" s="127">
        <v>4</v>
      </c>
      <c r="B404" s="127">
        <v>1</v>
      </c>
      <c r="C404" s="127">
        <v>1</v>
      </c>
      <c r="D404" s="127">
        <v>5</v>
      </c>
      <c r="E404" s="127"/>
      <c r="F404" s="127" t="s">
        <v>405</v>
      </c>
      <c r="G404" s="127"/>
      <c r="H404" s="127"/>
      <c r="I404" s="127"/>
      <c r="J404" s="129"/>
      <c r="K404" s="129"/>
      <c r="L404" s="127"/>
      <c r="M404" s="129"/>
      <c r="N404" s="129"/>
      <c r="O404" s="129"/>
      <c r="P404" s="309"/>
      <c r="Q404" s="309"/>
      <c r="R404" s="309"/>
      <c r="S404" s="309"/>
    </row>
    <row r="405" spans="1:19" x14ac:dyDescent="0.25">
      <c r="A405" s="127">
        <v>4</v>
      </c>
      <c r="B405" s="127">
        <v>1</v>
      </c>
      <c r="C405" s="127">
        <v>1</v>
      </c>
      <c r="D405" s="127">
        <v>6</v>
      </c>
      <c r="E405" s="127"/>
      <c r="F405" s="127" t="s">
        <v>406</v>
      </c>
      <c r="G405" s="127"/>
      <c r="H405" s="127"/>
      <c r="I405" s="127"/>
      <c r="J405" s="129"/>
      <c r="K405" s="129"/>
      <c r="L405" s="127"/>
      <c r="M405" s="129"/>
      <c r="N405" s="129"/>
      <c r="O405" s="129"/>
      <c r="P405" s="309"/>
      <c r="Q405" s="309"/>
      <c r="R405" s="309"/>
      <c r="S405" s="309"/>
    </row>
    <row r="406" spans="1:19" x14ac:dyDescent="0.25">
      <c r="A406" s="127">
        <v>4</v>
      </c>
      <c r="B406" s="127">
        <v>1</v>
      </c>
      <c r="C406" s="127">
        <v>1</v>
      </c>
      <c r="D406" s="127">
        <v>7</v>
      </c>
      <c r="E406" s="127"/>
      <c r="F406" s="127" t="s">
        <v>407</v>
      </c>
      <c r="G406" s="127"/>
      <c r="H406" s="127"/>
      <c r="I406" s="127"/>
      <c r="J406" s="129"/>
      <c r="K406" s="129"/>
      <c r="L406" s="127"/>
      <c r="M406" s="129"/>
      <c r="N406" s="129"/>
      <c r="O406" s="129"/>
      <c r="P406" s="309"/>
      <c r="Q406" s="309"/>
      <c r="R406" s="309"/>
      <c r="S406" s="309"/>
    </row>
    <row r="407" spans="1:19" x14ac:dyDescent="0.25">
      <c r="A407" s="127">
        <v>4</v>
      </c>
      <c r="B407" s="127">
        <v>1</v>
      </c>
      <c r="C407" s="127">
        <v>1</v>
      </c>
      <c r="D407" s="127">
        <v>9</v>
      </c>
      <c r="E407" s="127"/>
      <c r="F407" s="127" t="s">
        <v>408</v>
      </c>
      <c r="G407" s="127"/>
      <c r="H407" s="127"/>
      <c r="I407" s="127"/>
      <c r="J407" s="129"/>
      <c r="K407" s="129"/>
      <c r="L407" s="127"/>
      <c r="M407" s="129"/>
      <c r="N407" s="129"/>
      <c r="O407" s="129"/>
      <c r="P407" s="309"/>
      <c r="Q407" s="309"/>
      <c r="R407" s="309"/>
      <c r="S407" s="309"/>
    </row>
    <row r="408" spans="1:19" x14ac:dyDescent="0.25">
      <c r="A408" s="127">
        <v>4</v>
      </c>
      <c r="B408" s="127">
        <v>1</v>
      </c>
      <c r="C408" s="127">
        <v>2</v>
      </c>
      <c r="D408" s="127"/>
      <c r="E408" s="127"/>
      <c r="F408" s="128" t="s">
        <v>214</v>
      </c>
      <c r="G408" s="128"/>
      <c r="H408" s="128"/>
      <c r="I408" s="128"/>
      <c r="J408" s="129"/>
      <c r="K408" s="129"/>
      <c r="L408" s="128"/>
      <c r="M408" s="129"/>
      <c r="N408" s="129"/>
      <c r="O408" s="129"/>
      <c r="P408" s="309"/>
      <c r="Q408" s="309"/>
      <c r="R408" s="309"/>
      <c r="S408" s="309"/>
    </row>
    <row r="409" spans="1:19" x14ac:dyDescent="0.25">
      <c r="A409" s="127">
        <v>4</v>
      </c>
      <c r="B409" s="127">
        <v>1</v>
      </c>
      <c r="C409" s="127">
        <v>2</v>
      </c>
      <c r="D409" s="127">
        <v>1</v>
      </c>
      <c r="E409" s="127"/>
      <c r="F409" s="127" t="s">
        <v>409</v>
      </c>
      <c r="G409" s="127"/>
      <c r="H409" s="127"/>
      <c r="I409" s="127"/>
      <c r="J409" s="129"/>
      <c r="K409" s="129"/>
      <c r="L409" s="127"/>
      <c r="M409" s="129"/>
      <c r="N409" s="129"/>
      <c r="O409" s="129"/>
      <c r="P409" s="309"/>
      <c r="Q409" s="309"/>
      <c r="R409" s="309"/>
      <c r="S409" s="309"/>
    </row>
    <row r="410" spans="1:19" x14ac:dyDescent="0.25">
      <c r="A410" s="127">
        <v>4</v>
      </c>
      <c r="B410" s="127">
        <v>1</v>
      </c>
      <c r="C410" s="127">
        <v>2</v>
      </c>
      <c r="D410" s="127">
        <v>2</v>
      </c>
      <c r="E410" s="127"/>
      <c r="F410" s="127" t="s">
        <v>410</v>
      </c>
      <c r="G410" s="127"/>
      <c r="H410" s="127"/>
      <c r="I410" s="127"/>
      <c r="J410" s="129"/>
      <c r="K410" s="129"/>
      <c r="L410" s="127"/>
      <c r="M410" s="129"/>
      <c r="N410" s="129"/>
      <c r="O410" s="129"/>
      <c r="P410" s="309"/>
      <c r="Q410" s="309"/>
      <c r="R410" s="309"/>
      <c r="S410" s="309"/>
    </row>
    <row r="411" spans="1:19" x14ac:dyDescent="0.25">
      <c r="A411" s="127">
        <v>4</v>
      </c>
      <c r="B411" s="127">
        <v>1</v>
      </c>
      <c r="C411" s="127">
        <v>2</v>
      </c>
      <c r="D411" s="127">
        <v>3</v>
      </c>
      <c r="E411" s="127"/>
      <c r="F411" s="127" t="s">
        <v>411</v>
      </c>
      <c r="G411" s="127"/>
      <c r="H411" s="127"/>
      <c r="I411" s="127"/>
      <c r="J411" s="129"/>
      <c r="K411" s="129"/>
      <c r="L411" s="127"/>
      <c r="M411" s="129"/>
      <c r="N411" s="129"/>
      <c r="O411" s="129"/>
      <c r="P411" s="309"/>
      <c r="Q411" s="309"/>
      <c r="R411" s="309"/>
      <c r="S411" s="309"/>
    </row>
    <row r="412" spans="1:19" ht="24" x14ac:dyDescent="0.25">
      <c r="A412" s="127">
        <v>4</v>
      </c>
      <c r="B412" s="127">
        <v>1</v>
      </c>
      <c r="C412" s="127">
        <v>2</v>
      </c>
      <c r="D412" s="127">
        <v>4</v>
      </c>
      <c r="E412" s="127"/>
      <c r="F412" s="127" t="s">
        <v>412</v>
      </c>
      <c r="G412" s="127"/>
      <c r="H412" s="127"/>
      <c r="I412" s="127"/>
      <c r="J412" s="129"/>
      <c r="K412" s="129"/>
      <c r="L412" s="127"/>
      <c r="M412" s="129"/>
      <c r="N412" s="129"/>
      <c r="O412" s="129"/>
      <c r="P412" s="309"/>
      <c r="Q412" s="309"/>
      <c r="R412" s="309"/>
      <c r="S412" s="309"/>
    </row>
    <row r="413" spans="1:19" x14ac:dyDescent="0.25">
      <c r="A413" s="127">
        <v>4</v>
      </c>
      <c r="B413" s="127">
        <v>1</v>
      </c>
      <c r="C413" s="127">
        <v>2</v>
      </c>
      <c r="D413" s="127">
        <v>9</v>
      </c>
      <c r="E413" s="127"/>
      <c r="F413" s="127" t="s">
        <v>413</v>
      </c>
      <c r="G413" s="127"/>
      <c r="H413" s="127"/>
      <c r="I413" s="127"/>
      <c r="J413" s="129"/>
      <c r="K413" s="129"/>
      <c r="L413" s="127"/>
      <c r="M413" s="129"/>
      <c r="N413" s="129"/>
      <c r="O413" s="129"/>
      <c r="P413" s="309"/>
      <c r="Q413" s="309"/>
      <c r="R413" s="309"/>
      <c r="S413" s="309"/>
    </row>
    <row r="414" spans="1:19" x14ac:dyDescent="0.25">
      <c r="A414" s="127">
        <v>4</v>
      </c>
      <c r="B414" s="127">
        <v>1</v>
      </c>
      <c r="C414" s="127">
        <v>3</v>
      </c>
      <c r="D414" s="127"/>
      <c r="E414" s="127"/>
      <c r="F414" s="128" t="s">
        <v>42</v>
      </c>
      <c r="G414" s="128"/>
      <c r="H414" s="128"/>
      <c r="I414" s="128"/>
      <c r="J414" s="129"/>
      <c r="K414" s="129"/>
      <c r="L414" s="128"/>
      <c r="M414" s="129"/>
      <c r="N414" s="129"/>
      <c r="O414" s="129"/>
      <c r="P414" s="309"/>
      <c r="Q414" s="309"/>
      <c r="R414" s="309"/>
      <c r="S414" s="309"/>
    </row>
    <row r="415" spans="1:19" x14ac:dyDescent="0.25">
      <c r="A415" s="127">
        <v>4</v>
      </c>
      <c r="B415" s="127">
        <v>1</v>
      </c>
      <c r="C415" s="127">
        <v>3</v>
      </c>
      <c r="D415" s="127">
        <v>1</v>
      </c>
      <c r="E415" s="127"/>
      <c r="F415" s="127" t="s">
        <v>414</v>
      </c>
      <c r="G415" s="127"/>
      <c r="H415" s="127"/>
      <c r="I415" s="127"/>
      <c r="J415" s="129"/>
      <c r="K415" s="129"/>
      <c r="L415" s="127"/>
      <c r="M415" s="129"/>
      <c r="N415" s="129"/>
      <c r="O415" s="129"/>
      <c r="P415" s="309"/>
      <c r="Q415" s="309"/>
      <c r="R415" s="309"/>
      <c r="S415" s="309"/>
    </row>
    <row r="416" spans="1:19" x14ac:dyDescent="0.25">
      <c r="A416" s="125">
        <v>4</v>
      </c>
      <c r="B416" s="125">
        <v>1</v>
      </c>
      <c r="C416" s="125">
        <v>4</v>
      </c>
      <c r="D416" s="125"/>
      <c r="E416" s="125"/>
      <c r="F416" s="149" t="s">
        <v>43</v>
      </c>
      <c r="G416" s="467">
        <f t="shared" ref="G416" si="69">SUM(G417:G421)</f>
        <v>3720212</v>
      </c>
      <c r="H416" s="467">
        <f t="shared" ref="H416" si="70">SUM(H417:H421)</f>
        <v>0</v>
      </c>
      <c r="I416" s="467">
        <f t="shared" ref="I416" si="71">SUM(I417:I421)</f>
        <v>3348711</v>
      </c>
      <c r="J416" s="467">
        <f t="shared" ref="J416" si="72">SUM(J417:J421)</f>
        <v>3348711</v>
      </c>
      <c r="K416" s="467"/>
      <c r="L416" s="467">
        <f t="shared" ref="L416" si="73">SUM(L417:L421)</f>
        <v>3242993</v>
      </c>
      <c r="M416" s="467"/>
      <c r="N416" s="467"/>
      <c r="O416" s="467">
        <f t="shared" ref="O416" si="74">SUM(O417:O421)</f>
        <v>3242993</v>
      </c>
      <c r="P416" s="309"/>
      <c r="Q416" s="309"/>
      <c r="R416" s="309"/>
      <c r="S416" s="309"/>
    </row>
    <row r="417" spans="1:19" ht="24" x14ac:dyDescent="0.25">
      <c r="A417" s="127">
        <v>4</v>
      </c>
      <c r="B417" s="127">
        <v>1</v>
      </c>
      <c r="C417" s="127">
        <v>4</v>
      </c>
      <c r="D417" s="127">
        <v>1</v>
      </c>
      <c r="E417" s="127"/>
      <c r="F417" s="127" t="s">
        <v>415</v>
      </c>
      <c r="G417" s="129"/>
      <c r="H417" s="129"/>
      <c r="I417" s="129"/>
      <c r="J417" s="129"/>
      <c r="K417" s="129"/>
      <c r="L417" s="129"/>
      <c r="M417" s="129"/>
      <c r="N417" s="129"/>
      <c r="O417" s="129"/>
      <c r="P417" s="309"/>
      <c r="Q417" s="309"/>
      <c r="R417" s="309"/>
      <c r="S417" s="309"/>
    </row>
    <row r="418" spans="1:19" x14ac:dyDescent="0.25">
      <c r="A418" s="127">
        <v>4</v>
      </c>
      <c r="B418" s="127">
        <v>1</v>
      </c>
      <c r="C418" s="127">
        <v>4</v>
      </c>
      <c r="D418" s="127">
        <v>2</v>
      </c>
      <c r="E418" s="127"/>
      <c r="F418" s="127" t="s">
        <v>416</v>
      </c>
      <c r="G418" s="129"/>
      <c r="H418" s="129"/>
      <c r="I418" s="129"/>
      <c r="J418" s="129"/>
      <c r="K418" s="129"/>
      <c r="L418" s="129"/>
      <c r="M418" s="129"/>
      <c r="N418" s="129"/>
      <c r="O418" s="129"/>
      <c r="P418" s="309"/>
      <c r="Q418" s="309"/>
      <c r="R418" s="309"/>
      <c r="S418" s="309"/>
    </row>
    <row r="419" spans="1:19" x14ac:dyDescent="0.25">
      <c r="A419" s="127">
        <v>4</v>
      </c>
      <c r="B419" s="127">
        <v>1</v>
      </c>
      <c r="C419" s="127">
        <v>4</v>
      </c>
      <c r="D419" s="127">
        <v>3</v>
      </c>
      <c r="E419" s="127"/>
      <c r="F419" s="127" t="s">
        <v>417</v>
      </c>
      <c r="G419" s="129"/>
      <c r="H419" s="129"/>
      <c r="I419" s="129"/>
      <c r="J419" s="129"/>
      <c r="K419" s="129"/>
      <c r="L419" s="129"/>
      <c r="M419" s="129"/>
      <c r="N419" s="129"/>
      <c r="O419" s="129"/>
      <c r="P419" s="309"/>
      <c r="Q419" s="309"/>
      <c r="R419" s="309"/>
      <c r="S419" s="309"/>
    </row>
    <row r="420" spans="1:19" x14ac:dyDescent="0.25">
      <c r="A420" s="127">
        <v>4</v>
      </c>
      <c r="B420" s="127">
        <v>1</v>
      </c>
      <c r="C420" s="127">
        <v>4</v>
      </c>
      <c r="D420" s="127">
        <v>4</v>
      </c>
      <c r="E420" s="127"/>
      <c r="F420" s="127" t="s">
        <v>418</v>
      </c>
      <c r="G420" s="129"/>
      <c r="H420" s="129"/>
      <c r="I420" s="129"/>
      <c r="J420" s="129"/>
      <c r="K420" s="129"/>
      <c r="L420" s="129"/>
      <c r="M420" s="129"/>
      <c r="N420" s="129"/>
      <c r="O420" s="129"/>
      <c r="P420" s="309"/>
      <c r="Q420" s="309"/>
      <c r="R420" s="309"/>
      <c r="S420" s="309"/>
    </row>
    <row r="421" spans="1:19" x14ac:dyDescent="0.25">
      <c r="A421" s="127">
        <v>4</v>
      </c>
      <c r="B421" s="127">
        <v>1</v>
      </c>
      <c r="C421" s="127">
        <v>4</v>
      </c>
      <c r="D421" s="127">
        <v>9</v>
      </c>
      <c r="E421" s="127"/>
      <c r="F421" s="127" t="s">
        <v>419</v>
      </c>
      <c r="G421" s="129">
        <f t="shared" ref="G421" si="75">SUM(G422:G429)</f>
        <v>3720212</v>
      </c>
      <c r="H421" s="129">
        <f t="shared" ref="H421" si="76">SUM(H422:H429)</f>
        <v>0</v>
      </c>
      <c r="I421" s="129">
        <f t="shared" ref="I421:J421" si="77">SUM(I422:I429)</f>
        <v>3348711</v>
      </c>
      <c r="J421" s="129">
        <f t="shared" si="77"/>
        <v>3348711</v>
      </c>
      <c r="K421" s="129"/>
      <c r="L421" s="129">
        <f t="shared" ref="L421" si="78">SUM(L422:L429)</f>
        <v>3242993</v>
      </c>
      <c r="M421" s="129"/>
      <c r="N421" s="129"/>
      <c r="O421" s="129">
        <f t="shared" ref="O421" si="79">SUM(O422:O429)</f>
        <v>3242993</v>
      </c>
      <c r="P421" s="309"/>
      <c r="Q421" s="309"/>
      <c r="R421" s="309"/>
      <c r="S421" s="309"/>
    </row>
    <row r="422" spans="1:19" x14ac:dyDescent="0.25">
      <c r="A422" s="127"/>
      <c r="B422" s="127"/>
      <c r="C422" s="127"/>
      <c r="D422" s="127"/>
      <c r="E422" s="127"/>
      <c r="F422" s="127" t="s">
        <v>822</v>
      </c>
      <c r="G422" s="140">
        <f>181620+119067+106073+69300+124785+51480+27340+96400+276000+53100+230800+18600</f>
        <v>1354565</v>
      </c>
      <c r="H422" s="140">
        <v>0</v>
      </c>
      <c r="I422" s="140">
        <v>303767</v>
      </c>
      <c r="J422" s="129">
        <f t="shared" ref="J422:J429" si="80">I422</f>
        <v>303767</v>
      </c>
      <c r="K422" s="129"/>
      <c r="L422" s="140">
        <v>728074</v>
      </c>
      <c r="M422" s="129"/>
      <c r="N422" s="129"/>
      <c r="O422" s="129">
        <f>+L422+N422-M422</f>
        <v>728074</v>
      </c>
      <c r="P422" s="309"/>
      <c r="Q422" s="309"/>
      <c r="R422" s="309"/>
      <c r="S422" s="309"/>
    </row>
    <row r="423" spans="1:19" x14ac:dyDescent="0.25">
      <c r="A423" s="127"/>
      <c r="B423" s="127"/>
      <c r="C423" s="127"/>
      <c r="D423" s="127"/>
      <c r="E423" s="127"/>
      <c r="F423" s="127" t="s">
        <v>832</v>
      </c>
      <c r="G423" s="140">
        <f>21000+72000+3000+0</f>
        <v>96000</v>
      </c>
      <c r="H423" s="140">
        <v>0</v>
      </c>
      <c r="I423" s="140"/>
      <c r="J423" s="129">
        <f t="shared" si="80"/>
        <v>0</v>
      </c>
      <c r="K423" s="129"/>
      <c r="L423" s="140">
        <v>86000</v>
      </c>
      <c r="M423" s="129"/>
      <c r="N423" s="129"/>
      <c r="O423" s="129">
        <f t="shared" ref="O423:O425" si="81">+L423+N423-M423</f>
        <v>86000</v>
      </c>
      <c r="P423" s="309"/>
      <c r="Q423" s="309"/>
      <c r="R423" s="309"/>
      <c r="S423" s="309"/>
    </row>
    <row r="424" spans="1:19" x14ac:dyDescent="0.25">
      <c r="A424" s="127"/>
      <c r="B424" s="127"/>
      <c r="C424" s="127"/>
      <c r="D424" s="127"/>
      <c r="E424" s="127"/>
      <c r="F424" s="127" t="s">
        <v>823</v>
      </c>
      <c r="G424" s="140">
        <f>5180+9096+2700+4422+0+0+90400+18300+3200+33600+26500+49780+22500</f>
        <v>265678</v>
      </c>
      <c r="H424" s="140">
        <v>0</v>
      </c>
      <c r="I424" s="140">
        <v>83000</v>
      </c>
      <c r="J424" s="129">
        <f t="shared" si="80"/>
        <v>83000</v>
      </c>
      <c r="K424" s="129"/>
      <c r="L424" s="140">
        <v>44188</v>
      </c>
      <c r="M424" s="129"/>
      <c r="N424" s="129"/>
      <c r="O424" s="129">
        <f t="shared" si="81"/>
        <v>44188</v>
      </c>
      <c r="P424" s="309"/>
      <c r="Q424" s="309"/>
      <c r="R424" s="309"/>
      <c r="S424" s="309"/>
    </row>
    <row r="425" spans="1:19" x14ac:dyDescent="0.25">
      <c r="A425" s="127"/>
      <c r="B425" s="127"/>
      <c r="C425" s="127"/>
      <c r="D425" s="127"/>
      <c r="E425" s="127"/>
      <c r="F425" s="127" t="s">
        <v>833</v>
      </c>
      <c r="G425" s="140"/>
      <c r="H425" s="140">
        <v>0</v>
      </c>
      <c r="I425" s="140"/>
      <c r="J425" s="129">
        <f t="shared" si="80"/>
        <v>0</v>
      </c>
      <c r="K425" s="129"/>
      <c r="L425" s="140">
        <v>18000</v>
      </c>
      <c r="M425" s="129"/>
      <c r="N425" s="129"/>
      <c r="O425" s="129">
        <f t="shared" si="81"/>
        <v>18000</v>
      </c>
      <c r="P425" s="309"/>
      <c r="Q425" s="309"/>
      <c r="R425" s="309"/>
      <c r="S425" s="309"/>
    </row>
    <row r="426" spans="1:19" x14ac:dyDescent="0.25">
      <c r="A426" s="127"/>
      <c r="B426" s="127"/>
      <c r="C426" s="127"/>
      <c r="D426" s="127"/>
      <c r="E426" s="127"/>
      <c r="F426" s="127" t="s">
        <v>824</v>
      </c>
      <c r="G426" s="140">
        <f>195+540+400+628+1290+420+2060+1</f>
        <v>5534</v>
      </c>
      <c r="H426" s="140">
        <v>0</v>
      </c>
      <c r="I426" s="140">
        <v>1944</v>
      </c>
      <c r="J426" s="129">
        <f>I426</f>
        <v>1944</v>
      </c>
      <c r="K426" s="129"/>
      <c r="L426" s="140">
        <v>5081</v>
      </c>
      <c r="M426" s="129"/>
      <c r="N426" s="129"/>
      <c r="O426" s="129">
        <f t="shared" ref="O426:O429" si="82">+L426+N426-M426</f>
        <v>5081</v>
      </c>
      <c r="P426" s="309"/>
      <c r="Q426" s="309"/>
      <c r="R426" s="309"/>
      <c r="S426" s="309"/>
    </row>
    <row r="427" spans="1:19" x14ac:dyDescent="0.25">
      <c r="A427" s="127"/>
      <c r="B427" s="127"/>
      <c r="C427" s="127"/>
      <c r="D427" s="127"/>
      <c r="E427" s="127"/>
      <c r="F427" s="127" t="s">
        <v>825</v>
      </c>
      <c r="G427" s="140"/>
      <c r="H427" s="140">
        <v>0</v>
      </c>
      <c r="I427" s="140"/>
      <c r="J427" s="129">
        <f t="shared" si="80"/>
        <v>0</v>
      </c>
      <c r="K427" s="129"/>
      <c r="L427" s="140">
        <v>0</v>
      </c>
      <c r="M427" s="129"/>
      <c r="N427" s="129"/>
      <c r="O427" s="129">
        <f t="shared" si="82"/>
        <v>0</v>
      </c>
      <c r="P427" s="309"/>
      <c r="Q427" s="309"/>
      <c r="R427" s="309"/>
      <c r="S427" s="309"/>
    </row>
    <row r="428" spans="1:19" x14ac:dyDescent="0.25">
      <c r="A428" s="127"/>
      <c r="B428" s="127"/>
      <c r="C428" s="127"/>
      <c r="D428" s="127"/>
      <c r="E428" s="127"/>
      <c r="F428" s="127" t="s">
        <v>826</v>
      </c>
      <c r="G428" s="140">
        <f>196656+18957+0+175006+284525+175000+296734+0+0+0+105000</f>
        <v>1251878</v>
      </c>
      <c r="H428" s="140">
        <v>0</v>
      </c>
      <c r="I428" s="140">
        <v>2820000</v>
      </c>
      <c r="J428" s="129">
        <f t="shared" si="80"/>
        <v>2820000</v>
      </c>
      <c r="K428" s="129"/>
      <c r="L428" s="140">
        <v>2039869</v>
      </c>
      <c r="M428" s="129"/>
      <c r="N428" s="129"/>
      <c r="O428" s="129">
        <f t="shared" si="82"/>
        <v>2039869</v>
      </c>
      <c r="P428" s="309"/>
      <c r="Q428" s="309"/>
      <c r="R428" s="309"/>
      <c r="S428" s="309"/>
    </row>
    <row r="429" spans="1:19" x14ac:dyDescent="0.25">
      <c r="A429" s="127"/>
      <c r="B429" s="127"/>
      <c r="C429" s="127"/>
      <c r="D429" s="127"/>
      <c r="E429" s="127"/>
      <c r="F429" s="127" t="s">
        <v>827</v>
      </c>
      <c r="G429" s="140">
        <f>242907+350000+0+0+47072+68729+1+37848</f>
        <v>746557</v>
      </c>
      <c r="H429" s="140">
        <v>0</v>
      </c>
      <c r="I429" s="140">
        <v>140000</v>
      </c>
      <c r="J429" s="129">
        <f t="shared" si="80"/>
        <v>140000</v>
      </c>
      <c r="K429" s="129"/>
      <c r="L429" s="140">
        <v>321781</v>
      </c>
      <c r="M429" s="129"/>
      <c r="N429" s="129"/>
      <c r="O429" s="129">
        <f t="shared" si="82"/>
        <v>321781</v>
      </c>
      <c r="P429" s="309"/>
      <c r="Q429" s="309"/>
      <c r="R429" s="309"/>
      <c r="S429" s="309"/>
    </row>
    <row r="430" spans="1:19" x14ac:dyDescent="0.25">
      <c r="A430" s="125">
        <v>4</v>
      </c>
      <c r="B430" s="125">
        <v>1</v>
      </c>
      <c r="C430" s="125">
        <v>5</v>
      </c>
      <c r="D430" s="125"/>
      <c r="E430" s="125"/>
      <c r="F430" s="149" t="s">
        <v>44</v>
      </c>
      <c r="G430" s="467">
        <f t="shared" ref="G430" si="83">SUM(G431:G434)</f>
        <v>4841</v>
      </c>
      <c r="H430" s="467">
        <f t="shared" ref="H430" si="84">SUM(H431:H434)</f>
        <v>0</v>
      </c>
      <c r="I430" s="467">
        <f t="shared" ref="I430" si="85">SUM(I431:I434)</f>
        <v>1785</v>
      </c>
      <c r="J430" s="467">
        <f t="shared" ref="J430" si="86">SUM(J431:J434)</f>
        <v>1785</v>
      </c>
      <c r="K430" s="467"/>
      <c r="L430" s="467">
        <f t="shared" ref="L430" si="87">SUM(L431:L434)</f>
        <v>100687</v>
      </c>
      <c r="M430" s="467"/>
      <c r="N430" s="467"/>
      <c r="O430" s="467">
        <f t="shared" ref="O430" si="88">SUM(O431:O434)</f>
        <v>100687</v>
      </c>
      <c r="P430" s="309"/>
      <c r="Q430" s="309"/>
      <c r="R430" s="309"/>
      <c r="S430" s="309"/>
    </row>
    <row r="431" spans="1:19" ht="24" x14ac:dyDescent="0.25">
      <c r="A431" s="127">
        <v>4</v>
      </c>
      <c r="B431" s="127">
        <v>1</v>
      </c>
      <c r="C431" s="127">
        <v>5</v>
      </c>
      <c r="D431" s="127">
        <v>1</v>
      </c>
      <c r="E431" s="127"/>
      <c r="F431" s="127" t="s">
        <v>420</v>
      </c>
      <c r="G431" s="127"/>
      <c r="H431" s="127"/>
      <c r="I431" s="127"/>
      <c r="J431" s="129"/>
      <c r="K431" s="129"/>
      <c r="L431" s="127"/>
      <c r="M431" s="129"/>
      <c r="N431" s="129"/>
      <c r="O431" s="129"/>
      <c r="P431" s="309"/>
      <c r="Q431" s="309"/>
      <c r="R431" s="309"/>
      <c r="S431" s="309"/>
    </row>
    <row r="432" spans="1:19" ht="24" x14ac:dyDescent="0.25">
      <c r="A432" s="127">
        <v>4</v>
      </c>
      <c r="B432" s="127">
        <v>1</v>
      </c>
      <c r="C432" s="127">
        <v>5</v>
      </c>
      <c r="D432" s="127">
        <v>2</v>
      </c>
      <c r="E432" s="127"/>
      <c r="F432" s="127" t="s">
        <v>421</v>
      </c>
      <c r="G432" s="127"/>
      <c r="H432" s="127"/>
      <c r="I432" s="127"/>
      <c r="J432" s="129"/>
      <c r="K432" s="129"/>
      <c r="L432" s="127"/>
      <c r="M432" s="129"/>
      <c r="N432" s="129"/>
      <c r="O432" s="129"/>
      <c r="P432" s="309"/>
      <c r="Q432" s="309"/>
      <c r="R432" s="309"/>
      <c r="S432" s="309"/>
    </row>
    <row r="433" spans="1:19" x14ac:dyDescent="0.25">
      <c r="A433" s="127">
        <v>4</v>
      </c>
      <c r="B433" s="127">
        <v>1</v>
      </c>
      <c r="C433" s="127">
        <v>5</v>
      </c>
      <c r="D433" s="127">
        <v>3</v>
      </c>
      <c r="E433" s="127"/>
      <c r="F433" s="127" t="s">
        <v>422</v>
      </c>
      <c r="G433" s="127"/>
      <c r="H433" s="127"/>
      <c r="I433" s="127"/>
      <c r="J433" s="129"/>
      <c r="K433" s="129"/>
      <c r="L433" s="127"/>
      <c r="M433" s="129"/>
      <c r="N433" s="129"/>
      <c r="O433" s="129"/>
      <c r="P433" s="309"/>
      <c r="Q433" s="309"/>
      <c r="R433" s="309"/>
      <c r="S433" s="309"/>
    </row>
    <row r="434" spans="1:19" x14ac:dyDescent="0.25">
      <c r="A434" s="127">
        <v>4</v>
      </c>
      <c r="B434" s="127">
        <v>1</v>
      </c>
      <c r="C434" s="127">
        <v>5</v>
      </c>
      <c r="D434" s="127">
        <v>9</v>
      </c>
      <c r="E434" s="127"/>
      <c r="F434" s="127" t="s">
        <v>423</v>
      </c>
      <c r="G434" s="129">
        <f>SUM(G435:G438)</f>
        <v>4841</v>
      </c>
      <c r="H434" s="129">
        <f t="shared" ref="H434:O434" si="89">SUM(H435:H438)</f>
        <v>0</v>
      </c>
      <c r="I434" s="129">
        <f t="shared" si="89"/>
        <v>1785</v>
      </c>
      <c r="J434" s="129">
        <f t="shared" si="89"/>
        <v>1785</v>
      </c>
      <c r="K434" s="129"/>
      <c r="L434" s="129">
        <f>SUM(L435:L438)</f>
        <v>100687</v>
      </c>
      <c r="M434" s="129"/>
      <c r="N434" s="129"/>
      <c r="O434" s="129">
        <f t="shared" si="89"/>
        <v>100687</v>
      </c>
      <c r="P434" s="309"/>
      <c r="Q434" s="309"/>
      <c r="R434" s="309"/>
      <c r="S434" s="309"/>
    </row>
    <row r="435" spans="1:19" x14ac:dyDescent="0.25">
      <c r="A435" s="127"/>
      <c r="B435" s="127"/>
      <c r="C435" s="127"/>
      <c r="D435" s="127"/>
      <c r="E435" s="127"/>
      <c r="F435" s="127" t="s">
        <v>828</v>
      </c>
      <c r="G435" s="140">
        <f>7+27+42+40+73+86+96</f>
        <v>371</v>
      </c>
      <c r="H435" s="140">
        <v>0</v>
      </c>
      <c r="I435" s="140">
        <v>264</v>
      </c>
      <c r="J435" s="129">
        <f t="shared" ref="J435:J438" si="90">I435</f>
        <v>264</v>
      </c>
      <c r="K435" s="129"/>
      <c r="L435" s="140">
        <v>150</v>
      </c>
      <c r="M435" s="129"/>
      <c r="N435" s="129"/>
      <c r="O435" s="129">
        <f t="shared" ref="O435:O438" si="91">+L435+N435-M435</f>
        <v>150</v>
      </c>
      <c r="P435" s="309"/>
      <c r="Q435" s="309"/>
      <c r="R435" s="309"/>
      <c r="S435" s="309"/>
    </row>
    <row r="436" spans="1:19" x14ac:dyDescent="0.25">
      <c r="A436" s="127"/>
      <c r="B436" s="127"/>
      <c r="C436" s="127"/>
      <c r="D436" s="127"/>
      <c r="E436" s="127"/>
      <c r="F436" s="127" t="s">
        <v>829</v>
      </c>
      <c r="G436" s="140">
        <f>963+0+411+219+274+671+945+192+27+767+1</f>
        <v>4470</v>
      </c>
      <c r="H436" s="140">
        <v>0</v>
      </c>
      <c r="I436" s="140">
        <v>1521</v>
      </c>
      <c r="J436" s="129">
        <f t="shared" si="90"/>
        <v>1521</v>
      </c>
      <c r="K436" s="129"/>
      <c r="L436" s="140">
        <v>9400</v>
      </c>
      <c r="M436" s="129"/>
      <c r="N436" s="129"/>
      <c r="O436" s="129">
        <f t="shared" si="91"/>
        <v>9400</v>
      </c>
      <c r="P436" s="309"/>
      <c r="Q436" s="309"/>
      <c r="R436" s="309"/>
      <c r="S436" s="309"/>
    </row>
    <row r="437" spans="1:19" x14ac:dyDescent="0.25">
      <c r="A437" s="127"/>
      <c r="B437" s="127"/>
      <c r="C437" s="127"/>
      <c r="D437" s="127"/>
      <c r="E437" s="127"/>
      <c r="F437" s="127" t="s">
        <v>830</v>
      </c>
      <c r="G437" s="140">
        <v>0</v>
      </c>
      <c r="H437" s="140">
        <v>0</v>
      </c>
      <c r="I437" s="140"/>
      <c r="J437" s="129">
        <f t="shared" si="90"/>
        <v>0</v>
      </c>
      <c r="K437" s="129"/>
      <c r="L437" s="140">
        <v>1137</v>
      </c>
      <c r="M437" s="129"/>
      <c r="N437" s="129"/>
      <c r="O437" s="129">
        <f t="shared" si="91"/>
        <v>1137</v>
      </c>
      <c r="P437" s="309"/>
      <c r="Q437" s="309"/>
      <c r="R437" s="309"/>
      <c r="S437" s="309"/>
    </row>
    <row r="438" spans="1:19" x14ac:dyDescent="0.25">
      <c r="A438" s="127"/>
      <c r="B438" s="127"/>
      <c r="C438" s="127"/>
      <c r="D438" s="127"/>
      <c r="E438" s="127"/>
      <c r="F438" s="127" t="s">
        <v>1022</v>
      </c>
      <c r="G438" s="140">
        <v>0</v>
      </c>
      <c r="H438" s="140">
        <v>0</v>
      </c>
      <c r="I438" s="140">
        <v>0</v>
      </c>
      <c r="J438" s="129">
        <f t="shared" si="90"/>
        <v>0</v>
      </c>
      <c r="K438" s="129"/>
      <c r="L438" s="140">
        <v>90000</v>
      </c>
      <c r="M438" s="129"/>
      <c r="N438" s="129"/>
      <c r="O438" s="129">
        <f t="shared" si="91"/>
        <v>90000</v>
      </c>
      <c r="P438" s="309"/>
      <c r="Q438" s="309"/>
      <c r="R438" s="309"/>
      <c r="S438" s="309"/>
    </row>
    <row r="439" spans="1:19" x14ac:dyDescent="0.25">
      <c r="A439" s="125">
        <v>4</v>
      </c>
      <c r="B439" s="125">
        <v>1</v>
      </c>
      <c r="C439" s="125">
        <v>6</v>
      </c>
      <c r="D439" s="125"/>
      <c r="E439" s="125"/>
      <c r="F439" s="149" t="s">
        <v>45</v>
      </c>
      <c r="G439" s="467">
        <f t="shared" ref="G439" si="92">SUM(G440:G448)</f>
        <v>202545</v>
      </c>
      <c r="H439" s="467">
        <f t="shared" ref="H439" si="93">SUM(H440:H448)</f>
        <v>0</v>
      </c>
      <c r="I439" s="467">
        <f t="shared" ref="I439" si="94">SUM(I440:I448)</f>
        <v>0</v>
      </c>
      <c r="J439" s="467">
        <f t="shared" ref="J439" si="95">SUM(J440:J448)</f>
        <v>0</v>
      </c>
      <c r="K439" s="467"/>
      <c r="L439" s="467">
        <f t="shared" ref="L439" si="96">SUM(L440:L448)</f>
        <v>161133</v>
      </c>
      <c r="M439" s="467"/>
      <c r="N439" s="467"/>
      <c r="O439" s="467">
        <f t="shared" ref="O439" si="97">SUM(O440:O448)</f>
        <v>161133</v>
      </c>
      <c r="P439" s="309"/>
      <c r="Q439" s="309"/>
      <c r="R439" s="309"/>
      <c r="S439" s="309"/>
    </row>
    <row r="440" spans="1:19" x14ac:dyDescent="0.25">
      <c r="A440" s="127">
        <v>4</v>
      </c>
      <c r="B440" s="127">
        <v>1</v>
      </c>
      <c r="C440" s="127">
        <v>6</v>
      </c>
      <c r="D440" s="127">
        <v>1</v>
      </c>
      <c r="E440" s="127"/>
      <c r="F440" s="127" t="s">
        <v>424</v>
      </c>
      <c r="G440" s="127"/>
      <c r="H440" s="127"/>
      <c r="I440" s="127"/>
      <c r="J440" s="129"/>
      <c r="K440" s="129"/>
      <c r="L440" s="127"/>
      <c r="M440" s="129"/>
      <c r="N440" s="129"/>
      <c r="O440" s="129"/>
      <c r="P440" s="309"/>
      <c r="Q440" s="309"/>
      <c r="R440" s="309"/>
      <c r="S440" s="309"/>
    </row>
    <row r="441" spans="1:19" x14ac:dyDescent="0.25">
      <c r="A441" s="127">
        <v>4</v>
      </c>
      <c r="B441" s="127">
        <v>1</v>
      </c>
      <c r="C441" s="127">
        <v>6</v>
      </c>
      <c r="D441" s="127">
        <v>2</v>
      </c>
      <c r="E441" s="127"/>
      <c r="F441" s="127" t="s">
        <v>425</v>
      </c>
      <c r="G441" s="127"/>
      <c r="H441" s="127"/>
      <c r="I441" s="127"/>
      <c r="J441" s="129"/>
      <c r="K441" s="129"/>
      <c r="L441" s="127"/>
      <c r="M441" s="129"/>
      <c r="N441" s="129"/>
      <c r="O441" s="129"/>
      <c r="P441" s="309"/>
      <c r="Q441" s="309"/>
      <c r="R441" s="309"/>
      <c r="S441" s="309"/>
    </row>
    <row r="442" spans="1:19" x14ac:dyDescent="0.25">
      <c r="A442" s="127">
        <v>4</v>
      </c>
      <c r="B442" s="127">
        <v>1</v>
      </c>
      <c r="C442" s="127">
        <v>6</v>
      </c>
      <c r="D442" s="127">
        <v>3</v>
      </c>
      <c r="E442" s="127"/>
      <c r="F442" s="127" t="s">
        <v>426</v>
      </c>
      <c r="G442" s="127"/>
      <c r="H442" s="127"/>
      <c r="I442" s="127"/>
      <c r="J442" s="129"/>
      <c r="K442" s="129"/>
      <c r="L442" s="127"/>
      <c r="M442" s="129"/>
      <c r="N442" s="129"/>
      <c r="O442" s="129"/>
      <c r="P442" s="309"/>
      <c r="Q442" s="309"/>
      <c r="R442" s="309"/>
      <c r="S442" s="309"/>
    </row>
    <row r="443" spans="1:19" x14ac:dyDescent="0.25">
      <c r="A443" s="127">
        <v>4</v>
      </c>
      <c r="B443" s="127">
        <v>1</v>
      </c>
      <c r="C443" s="127">
        <v>6</v>
      </c>
      <c r="D443" s="127">
        <v>4</v>
      </c>
      <c r="E443" s="127"/>
      <c r="F443" s="127" t="s">
        <v>427</v>
      </c>
      <c r="G443" s="127"/>
      <c r="H443" s="127"/>
      <c r="I443" s="127"/>
      <c r="J443" s="129"/>
      <c r="K443" s="129"/>
      <c r="L443" s="127"/>
      <c r="M443" s="129"/>
      <c r="N443" s="129"/>
      <c r="O443" s="129"/>
      <c r="P443" s="309"/>
      <c r="Q443" s="309"/>
      <c r="R443" s="309"/>
      <c r="S443" s="309"/>
    </row>
    <row r="444" spans="1:19" x14ac:dyDescent="0.25">
      <c r="A444" s="127">
        <v>4</v>
      </c>
      <c r="B444" s="127">
        <v>1</v>
      </c>
      <c r="C444" s="127">
        <v>6</v>
      </c>
      <c r="D444" s="127">
        <v>5</v>
      </c>
      <c r="E444" s="127"/>
      <c r="F444" s="127" t="s">
        <v>428</v>
      </c>
      <c r="G444" s="127"/>
      <c r="H444" s="127"/>
      <c r="I444" s="127"/>
      <c r="J444" s="129"/>
      <c r="K444" s="129"/>
      <c r="L444" s="127"/>
      <c r="M444" s="129"/>
      <c r="N444" s="129"/>
      <c r="O444" s="129"/>
      <c r="P444" s="309"/>
      <c r="Q444" s="309"/>
      <c r="R444" s="309"/>
      <c r="S444" s="309"/>
    </row>
    <row r="445" spans="1:19" ht="24" x14ac:dyDescent="0.25">
      <c r="A445" s="127">
        <v>4</v>
      </c>
      <c r="B445" s="127">
        <v>1</v>
      </c>
      <c r="C445" s="127">
        <v>6</v>
      </c>
      <c r="D445" s="127">
        <v>6</v>
      </c>
      <c r="E445" s="127"/>
      <c r="F445" s="127" t="s">
        <v>429</v>
      </c>
      <c r="G445" s="127"/>
      <c r="H445" s="127"/>
      <c r="I445" s="127"/>
      <c r="J445" s="129"/>
      <c r="K445" s="129"/>
      <c r="L445" s="127"/>
      <c r="M445" s="129"/>
      <c r="N445" s="129"/>
      <c r="O445" s="129"/>
      <c r="P445" s="309"/>
      <c r="Q445" s="309"/>
      <c r="R445" s="309"/>
      <c r="S445" s="309"/>
    </row>
    <row r="446" spans="1:19" x14ac:dyDescent="0.25">
      <c r="A446" s="127">
        <v>4</v>
      </c>
      <c r="B446" s="127">
        <v>1</v>
      </c>
      <c r="C446" s="127">
        <v>6</v>
      </c>
      <c r="D446" s="127">
        <v>7</v>
      </c>
      <c r="E446" s="127"/>
      <c r="F446" s="127" t="s">
        <v>430</v>
      </c>
      <c r="G446" s="127"/>
      <c r="H446" s="127"/>
      <c r="I446" s="127"/>
      <c r="J446" s="129"/>
      <c r="K446" s="129"/>
      <c r="L446" s="127"/>
      <c r="M446" s="129"/>
      <c r="N446" s="129"/>
      <c r="O446" s="129"/>
      <c r="P446" s="309"/>
      <c r="Q446" s="309"/>
      <c r="R446" s="309"/>
      <c r="S446" s="309"/>
    </row>
    <row r="447" spans="1:19" x14ac:dyDescent="0.25">
      <c r="A447" s="127">
        <v>4</v>
      </c>
      <c r="B447" s="127">
        <v>1</v>
      </c>
      <c r="C447" s="127">
        <v>6</v>
      </c>
      <c r="D447" s="127">
        <v>8</v>
      </c>
      <c r="E447" s="127"/>
      <c r="F447" s="127" t="s">
        <v>431</v>
      </c>
      <c r="G447" s="127"/>
      <c r="H447" s="127"/>
      <c r="I447" s="127"/>
      <c r="J447" s="129"/>
      <c r="K447" s="129"/>
      <c r="L447" s="127"/>
      <c r="M447" s="129"/>
      <c r="N447" s="129"/>
      <c r="O447" s="129"/>
      <c r="P447" s="309"/>
      <c r="Q447" s="309"/>
      <c r="R447" s="309"/>
      <c r="S447" s="309"/>
    </row>
    <row r="448" spans="1:19" x14ac:dyDescent="0.25">
      <c r="A448" s="127">
        <v>4</v>
      </c>
      <c r="B448" s="127">
        <v>1</v>
      </c>
      <c r="C448" s="127">
        <v>6</v>
      </c>
      <c r="D448" s="127">
        <v>9</v>
      </c>
      <c r="E448" s="127"/>
      <c r="F448" s="127" t="s">
        <v>432</v>
      </c>
      <c r="G448" s="129">
        <f t="shared" ref="G448" si="98">SUM(G449:G450)</f>
        <v>202545</v>
      </c>
      <c r="H448" s="129">
        <f t="shared" ref="H448" si="99">SUM(H449:H450)</f>
        <v>0</v>
      </c>
      <c r="I448" s="129">
        <f t="shared" ref="I448" si="100">SUM(I449:I450)</f>
        <v>0</v>
      </c>
      <c r="J448" s="129">
        <f t="shared" ref="J448" si="101">SUM(J449:J450)</f>
        <v>0</v>
      </c>
      <c r="K448" s="129"/>
      <c r="L448" s="129">
        <f t="shared" ref="L448" si="102">SUM(L449:L450)</f>
        <v>161133</v>
      </c>
      <c r="M448" s="129"/>
      <c r="N448" s="129"/>
      <c r="O448" s="129">
        <f t="shared" ref="O448" si="103">SUM(O449:O450)</f>
        <v>161133</v>
      </c>
      <c r="P448" s="309"/>
      <c r="Q448" s="309"/>
      <c r="R448" s="309"/>
      <c r="S448" s="309"/>
    </row>
    <row r="449" spans="1:19" x14ac:dyDescent="0.25">
      <c r="A449" s="127"/>
      <c r="B449" s="127"/>
      <c r="C449" s="127"/>
      <c r="D449" s="127"/>
      <c r="E449" s="127"/>
      <c r="F449" s="127" t="s">
        <v>831</v>
      </c>
      <c r="G449" s="140">
        <f>14653+709+700+616+1+535-1</f>
        <v>17213</v>
      </c>
      <c r="H449" s="140">
        <v>0</v>
      </c>
      <c r="I449" s="140">
        <v>0</v>
      </c>
      <c r="J449" s="129">
        <f>I449</f>
        <v>0</v>
      </c>
      <c r="K449" s="129"/>
      <c r="L449" s="140">
        <v>17810</v>
      </c>
      <c r="M449" s="129"/>
      <c r="N449" s="129"/>
      <c r="O449" s="129">
        <f t="shared" ref="O449:O450" si="104">+L449+N449-M449</f>
        <v>17810</v>
      </c>
      <c r="P449" s="309"/>
      <c r="Q449" s="309"/>
      <c r="R449" s="309"/>
      <c r="S449" s="309"/>
    </row>
    <row r="450" spans="1:19" x14ac:dyDescent="0.25">
      <c r="A450" s="127"/>
      <c r="B450" s="127"/>
      <c r="C450" s="127"/>
      <c r="D450" s="127"/>
      <c r="E450" s="127"/>
      <c r="F450" s="127" t="s">
        <v>827</v>
      </c>
      <c r="G450" s="140">
        <v>185332</v>
      </c>
      <c r="H450" s="140">
        <v>0</v>
      </c>
      <c r="I450" s="140">
        <v>0</v>
      </c>
      <c r="J450" s="129">
        <f>I450</f>
        <v>0</v>
      </c>
      <c r="K450" s="129"/>
      <c r="L450" s="140">
        <v>143323</v>
      </c>
      <c r="M450" s="129"/>
      <c r="N450" s="129"/>
      <c r="O450" s="129">
        <f t="shared" si="104"/>
        <v>143323</v>
      </c>
      <c r="P450" s="309"/>
      <c r="Q450" s="309"/>
      <c r="R450" s="309"/>
      <c r="S450" s="309"/>
    </row>
    <row r="451" spans="1:19" x14ac:dyDescent="0.25">
      <c r="A451" s="127">
        <v>4</v>
      </c>
      <c r="B451" s="127">
        <v>1</v>
      </c>
      <c r="C451" s="127">
        <v>7</v>
      </c>
      <c r="D451" s="127"/>
      <c r="E451" s="127"/>
      <c r="F451" s="128" t="s">
        <v>46</v>
      </c>
      <c r="G451" s="128"/>
      <c r="H451" s="128"/>
      <c r="I451" s="128"/>
      <c r="J451" s="129"/>
      <c r="K451" s="129"/>
      <c r="L451" s="128"/>
      <c r="M451" s="129"/>
      <c r="N451" s="129"/>
      <c r="O451" s="129"/>
      <c r="P451" s="309"/>
      <c r="Q451" s="309"/>
      <c r="R451" s="309"/>
      <c r="S451" s="309"/>
    </row>
    <row r="452" spans="1:19" x14ac:dyDescent="0.25">
      <c r="A452" s="127">
        <v>4</v>
      </c>
      <c r="B452" s="127">
        <v>1</v>
      </c>
      <c r="C452" s="127">
        <v>7</v>
      </c>
      <c r="D452" s="127">
        <v>1</v>
      </c>
      <c r="E452" s="127"/>
      <c r="F452" s="127" t="s">
        <v>433</v>
      </c>
      <c r="G452" s="127"/>
      <c r="H452" s="127"/>
      <c r="I452" s="127"/>
      <c r="J452" s="129"/>
      <c r="K452" s="129"/>
      <c r="L452" s="127"/>
      <c r="M452" s="129"/>
      <c r="N452" s="129"/>
      <c r="O452" s="129"/>
      <c r="P452" s="309"/>
      <c r="Q452" s="309"/>
      <c r="R452" s="309"/>
      <c r="S452" s="309"/>
    </row>
    <row r="453" spans="1:19" ht="24" x14ac:dyDescent="0.25">
      <c r="A453" s="127">
        <v>4</v>
      </c>
      <c r="B453" s="127">
        <v>1</v>
      </c>
      <c r="C453" s="127">
        <v>7</v>
      </c>
      <c r="D453" s="127">
        <v>2</v>
      </c>
      <c r="E453" s="127"/>
      <c r="F453" s="127" t="s">
        <v>434</v>
      </c>
      <c r="G453" s="127"/>
      <c r="H453" s="127"/>
      <c r="I453" s="127"/>
      <c r="J453" s="129"/>
      <c r="K453" s="129"/>
      <c r="L453" s="127"/>
      <c r="M453" s="129"/>
      <c r="N453" s="129"/>
      <c r="O453" s="129"/>
      <c r="P453" s="309"/>
      <c r="Q453" s="309"/>
      <c r="R453" s="309"/>
      <c r="S453" s="309"/>
    </row>
    <row r="454" spans="1:19" ht="24" x14ac:dyDescent="0.25">
      <c r="A454" s="127">
        <v>4</v>
      </c>
      <c r="B454" s="127">
        <v>1</v>
      </c>
      <c r="C454" s="127">
        <v>7</v>
      </c>
      <c r="D454" s="127">
        <v>3</v>
      </c>
      <c r="E454" s="127"/>
      <c r="F454" s="127" t="s">
        <v>435</v>
      </c>
      <c r="G454" s="127"/>
      <c r="H454" s="127"/>
      <c r="I454" s="127"/>
      <c r="J454" s="129"/>
      <c r="K454" s="129"/>
      <c r="L454" s="127"/>
      <c r="M454" s="129"/>
      <c r="N454" s="129"/>
      <c r="O454" s="129"/>
      <c r="P454" s="309"/>
      <c r="Q454" s="309"/>
      <c r="R454" s="309"/>
      <c r="S454" s="309"/>
    </row>
    <row r="455" spans="1:19" ht="24" x14ac:dyDescent="0.25">
      <c r="A455" s="127">
        <v>4</v>
      </c>
      <c r="B455" s="127">
        <v>1</v>
      </c>
      <c r="C455" s="127">
        <v>7</v>
      </c>
      <c r="D455" s="127">
        <v>4</v>
      </c>
      <c r="E455" s="127"/>
      <c r="F455" s="127" t="s">
        <v>436</v>
      </c>
      <c r="G455" s="127"/>
      <c r="H455" s="127"/>
      <c r="I455" s="127"/>
      <c r="J455" s="129"/>
      <c r="K455" s="129"/>
      <c r="L455" s="127"/>
      <c r="M455" s="129"/>
      <c r="N455" s="129"/>
      <c r="O455" s="129"/>
      <c r="P455" s="309"/>
      <c r="Q455" s="309"/>
      <c r="R455" s="309"/>
      <c r="S455" s="309"/>
    </row>
    <row r="456" spans="1:19" ht="36" x14ac:dyDescent="0.25">
      <c r="A456" s="127">
        <v>4</v>
      </c>
      <c r="B456" s="127">
        <v>1</v>
      </c>
      <c r="C456" s="127">
        <v>9</v>
      </c>
      <c r="D456" s="127"/>
      <c r="E456" s="127"/>
      <c r="F456" s="128" t="s">
        <v>49</v>
      </c>
      <c r="G456" s="128"/>
      <c r="H456" s="128"/>
      <c r="I456" s="128"/>
      <c r="J456" s="129"/>
      <c r="K456" s="129"/>
      <c r="L456" s="128"/>
      <c r="M456" s="129"/>
      <c r="N456" s="129"/>
      <c r="O456" s="129"/>
      <c r="P456" s="309"/>
      <c r="Q456" s="309"/>
      <c r="R456" s="309"/>
      <c r="S456" s="309"/>
    </row>
    <row r="457" spans="1:19" ht="36" x14ac:dyDescent="0.25">
      <c r="A457" s="127">
        <v>4</v>
      </c>
      <c r="B457" s="127">
        <v>1</v>
      </c>
      <c r="C457" s="127">
        <v>9</v>
      </c>
      <c r="D457" s="127">
        <v>1</v>
      </c>
      <c r="E457" s="127"/>
      <c r="F457" s="127" t="s">
        <v>437</v>
      </c>
      <c r="G457" s="127"/>
      <c r="H457" s="127"/>
      <c r="I457" s="127"/>
      <c r="J457" s="129"/>
      <c r="K457" s="129"/>
      <c r="L457" s="127"/>
      <c r="M457" s="129"/>
      <c r="N457" s="129"/>
      <c r="O457" s="129"/>
      <c r="P457" s="309"/>
      <c r="Q457" s="309"/>
      <c r="R457" s="309"/>
      <c r="S457" s="309"/>
    </row>
    <row r="458" spans="1:19" ht="60" x14ac:dyDescent="0.25">
      <c r="A458" s="127">
        <v>4</v>
      </c>
      <c r="B458" s="127">
        <v>1</v>
      </c>
      <c r="C458" s="127">
        <v>9</v>
      </c>
      <c r="D458" s="127">
        <v>2</v>
      </c>
      <c r="E458" s="127"/>
      <c r="F458" s="127" t="s">
        <v>438</v>
      </c>
      <c r="G458" s="127"/>
      <c r="H458" s="127"/>
      <c r="I458" s="127"/>
      <c r="J458" s="129"/>
      <c r="K458" s="129"/>
      <c r="L458" s="127"/>
      <c r="M458" s="129"/>
      <c r="N458" s="129"/>
      <c r="O458" s="129"/>
      <c r="P458" s="309"/>
      <c r="Q458" s="309"/>
      <c r="R458" s="309"/>
      <c r="S458" s="309"/>
    </row>
    <row r="459" spans="1:19" ht="36" x14ac:dyDescent="0.25">
      <c r="A459" s="126">
        <v>4</v>
      </c>
      <c r="B459" s="126">
        <v>2</v>
      </c>
      <c r="C459" s="126"/>
      <c r="D459" s="126"/>
      <c r="E459" s="126"/>
      <c r="F459" s="126" t="s">
        <v>439</v>
      </c>
      <c r="G459" s="126"/>
      <c r="H459" s="126"/>
      <c r="I459" s="126"/>
      <c r="J459" s="129"/>
      <c r="K459" s="129"/>
      <c r="L459" s="126"/>
      <c r="M459" s="129"/>
      <c r="N459" s="129"/>
      <c r="O459" s="129"/>
      <c r="P459" s="309"/>
      <c r="Q459" s="309"/>
      <c r="R459" s="309"/>
      <c r="S459" s="309"/>
    </row>
    <row r="460" spans="1:19" x14ac:dyDescent="0.25">
      <c r="A460" s="127">
        <v>4</v>
      </c>
      <c r="B460" s="127">
        <v>2</v>
      </c>
      <c r="C460" s="127">
        <v>1</v>
      </c>
      <c r="D460" s="132"/>
      <c r="E460" s="132"/>
      <c r="F460" s="135" t="s">
        <v>51</v>
      </c>
      <c r="G460" s="146">
        <f>SUM(G461:G463)</f>
        <v>12001280</v>
      </c>
      <c r="H460" s="146">
        <f t="shared" ref="H460:I460" si="105">SUM(H461:H463)</f>
        <v>0</v>
      </c>
      <c r="I460" s="146">
        <f t="shared" si="105"/>
        <v>2553000</v>
      </c>
      <c r="J460" s="146">
        <f>SUM(J461:J463)</f>
        <v>2553000</v>
      </c>
      <c r="K460" s="131"/>
      <c r="L460" s="146">
        <f>SUM(L461:L463)</f>
        <v>23380054</v>
      </c>
      <c r="M460" s="146"/>
      <c r="N460" s="146"/>
      <c r="O460" s="146">
        <f>SUM(O461:O463)</f>
        <v>23380054</v>
      </c>
      <c r="P460" s="309"/>
      <c r="Q460" s="309"/>
      <c r="R460" s="309"/>
      <c r="S460" s="309"/>
    </row>
    <row r="461" spans="1:19" x14ac:dyDescent="0.25">
      <c r="A461" s="127">
        <v>4</v>
      </c>
      <c r="B461" s="127">
        <v>2</v>
      </c>
      <c r="C461" s="127">
        <v>1</v>
      </c>
      <c r="D461" s="127">
        <v>1</v>
      </c>
      <c r="E461" s="127"/>
      <c r="F461" s="127" t="s">
        <v>75</v>
      </c>
      <c r="G461" s="129">
        <v>12001280</v>
      </c>
      <c r="H461" s="140">
        <v>0</v>
      </c>
      <c r="I461" s="140">
        <v>2553000</v>
      </c>
      <c r="J461" s="129">
        <f>I461</f>
        <v>2553000</v>
      </c>
      <c r="K461" s="129"/>
      <c r="L461" s="129">
        <v>11521231</v>
      </c>
      <c r="M461" s="129"/>
      <c r="N461" s="129"/>
      <c r="O461" s="129">
        <f>L461-M461+N461</f>
        <v>11521231</v>
      </c>
      <c r="P461" s="309"/>
      <c r="Q461" s="309"/>
      <c r="R461" s="309"/>
      <c r="S461" s="309"/>
    </row>
    <row r="462" spans="1:19" x14ac:dyDescent="0.25">
      <c r="A462" s="127">
        <v>4</v>
      </c>
      <c r="B462" s="127">
        <v>2</v>
      </c>
      <c r="C462" s="127">
        <v>1</v>
      </c>
      <c r="D462" s="127">
        <v>2</v>
      </c>
      <c r="E462" s="127"/>
      <c r="F462" s="127" t="s">
        <v>76</v>
      </c>
      <c r="G462" s="129">
        <v>0</v>
      </c>
      <c r="H462" s="140">
        <v>0</v>
      </c>
      <c r="I462" s="140">
        <v>0</v>
      </c>
      <c r="J462" s="129">
        <f t="shared" ref="J462:J463" si="106">I462</f>
        <v>0</v>
      </c>
      <c r="K462" s="129"/>
      <c r="L462" s="129">
        <v>0</v>
      </c>
      <c r="M462" s="129"/>
      <c r="N462" s="129"/>
      <c r="O462" s="129">
        <f>L462-M462+N462</f>
        <v>0</v>
      </c>
      <c r="P462" s="309"/>
      <c r="Q462" s="309"/>
      <c r="R462" s="309"/>
      <c r="S462" s="309"/>
    </row>
    <row r="463" spans="1:19" x14ac:dyDescent="0.25">
      <c r="A463" s="127">
        <v>4</v>
      </c>
      <c r="B463" s="127">
        <v>2</v>
      </c>
      <c r="C463" s="127">
        <v>1</v>
      </c>
      <c r="D463" s="127">
        <v>3</v>
      </c>
      <c r="E463" s="127"/>
      <c r="F463" s="127" t="s">
        <v>77</v>
      </c>
      <c r="G463" s="129">
        <v>0</v>
      </c>
      <c r="H463" s="140">
        <v>0</v>
      </c>
      <c r="I463" s="140">
        <v>0</v>
      </c>
      <c r="J463" s="129">
        <f t="shared" si="106"/>
        <v>0</v>
      </c>
      <c r="K463" s="129"/>
      <c r="L463" s="129">
        <v>11858823</v>
      </c>
      <c r="M463" s="129"/>
      <c r="N463" s="129"/>
      <c r="O463" s="129">
        <f>L463-M463+N463</f>
        <v>11858823</v>
      </c>
      <c r="P463" s="309"/>
      <c r="Q463" s="309"/>
      <c r="R463" s="309"/>
      <c r="S463" s="309"/>
    </row>
    <row r="464" spans="1:19" ht="24" x14ac:dyDescent="0.25">
      <c r="A464" s="127">
        <v>4</v>
      </c>
      <c r="B464" s="127">
        <v>2</v>
      </c>
      <c r="C464" s="127">
        <v>2</v>
      </c>
      <c r="D464" s="127"/>
      <c r="E464" s="127"/>
      <c r="F464" s="128" t="s">
        <v>52</v>
      </c>
      <c r="G464" s="128"/>
      <c r="H464" s="128"/>
      <c r="I464" s="128"/>
      <c r="J464" s="129"/>
      <c r="K464" s="129"/>
      <c r="L464" s="128"/>
      <c r="M464" s="129"/>
      <c r="N464" s="129"/>
      <c r="O464" s="129"/>
      <c r="P464" s="309"/>
      <c r="Q464" s="309"/>
      <c r="R464" s="309"/>
      <c r="S464" s="309"/>
    </row>
    <row r="465" spans="1:19" ht="24" x14ac:dyDescent="0.25">
      <c r="A465" s="127">
        <v>4</v>
      </c>
      <c r="B465" s="127">
        <v>2</v>
      </c>
      <c r="C465" s="127">
        <v>2</v>
      </c>
      <c r="D465" s="127">
        <v>1</v>
      </c>
      <c r="E465" s="127"/>
      <c r="F465" s="127" t="s">
        <v>66</v>
      </c>
      <c r="G465" s="127"/>
      <c r="H465" s="127"/>
      <c r="I465" s="127"/>
      <c r="J465" s="129"/>
      <c r="K465" s="129"/>
      <c r="L465" s="127"/>
      <c r="M465" s="129"/>
      <c r="N465" s="129"/>
      <c r="O465" s="129"/>
      <c r="P465" s="309"/>
      <c r="Q465" s="309"/>
      <c r="R465" s="309"/>
      <c r="S465" s="309"/>
    </row>
    <row r="466" spans="1:19" x14ac:dyDescent="0.25">
      <c r="A466" s="127">
        <v>4</v>
      </c>
      <c r="B466" s="127">
        <v>2</v>
      </c>
      <c r="C466" s="127">
        <v>2</v>
      </c>
      <c r="D466" s="127">
        <v>2</v>
      </c>
      <c r="E466" s="127"/>
      <c r="F466" s="127" t="s">
        <v>67</v>
      </c>
      <c r="G466" s="127"/>
      <c r="H466" s="127"/>
      <c r="I466" s="127"/>
      <c r="J466" s="129"/>
      <c r="K466" s="129"/>
      <c r="L466" s="127"/>
      <c r="M466" s="129"/>
      <c r="N466" s="129"/>
      <c r="O466" s="129"/>
      <c r="P466" s="309"/>
      <c r="Q466" s="309"/>
      <c r="R466" s="309"/>
      <c r="S466" s="309"/>
    </row>
    <row r="467" spans="1:19" x14ac:dyDescent="0.25">
      <c r="A467" s="127">
        <v>4</v>
      </c>
      <c r="B467" s="127">
        <v>2</v>
      </c>
      <c r="C467" s="127">
        <v>2</v>
      </c>
      <c r="D467" s="127">
        <v>3</v>
      </c>
      <c r="E467" s="127"/>
      <c r="F467" s="127" t="s">
        <v>68</v>
      </c>
      <c r="G467" s="127"/>
      <c r="H467" s="127"/>
      <c r="I467" s="127"/>
      <c r="J467" s="129"/>
      <c r="K467" s="129"/>
      <c r="L467" s="127"/>
      <c r="M467" s="129"/>
      <c r="N467" s="129"/>
      <c r="O467" s="129"/>
      <c r="P467" s="309"/>
      <c r="Q467" s="309"/>
      <c r="R467" s="309"/>
      <c r="S467" s="309"/>
    </row>
    <row r="468" spans="1:19" x14ac:dyDescent="0.25">
      <c r="A468" s="127">
        <v>4</v>
      </c>
      <c r="B468" s="127">
        <v>2</v>
      </c>
      <c r="C468" s="127">
        <v>2</v>
      </c>
      <c r="D468" s="127">
        <v>4</v>
      </c>
      <c r="E468" s="127"/>
      <c r="F468" s="127" t="s">
        <v>69</v>
      </c>
      <c r="G468" s="127"/>
      <c r="H468" s="127"/>
      <c r="I468" s="127"/>
      <c r="J468" s="129"/>
      <c r="K468" s="129"/>
      <c r="L468" s="127"/>
      <c r="M468" s="129"/>
      <c r="N468" s="129"/>
      <c r="O468" s="129"/>
      <c r="P468" s="309"/>
      <c r="Q468" s="309"/>
      <c r="R468" s="309"/>
      <c r="S468" s="309"/>
    </row>
    <row r="469" spans="1:19" x14ac:dyDescent="0.25">
      <c r="A469" s="127">
        <v>4</v>
      </c>
      <c r="B469" s="127">
        <v>2</v>
      </c>
      <c r="C469" s="127">
        <v>2</v>
      </c>
      <c r="D469" s="127">
        <v>5</v>
      </c>
      <c r="E469" s="127"/>
      <c r="F469" s="127" t="s">
        <v>70</v>
      </c>
      <c r="G469" s="127"/>
      <c r="H469" s="127"/>
      <c r="I469" s="127"/>
      <c r="J469" s="129"/>
      <c r="K469" s="129"/>
      <c r="L469" s="127"/>
      <c r="M469" s="129"/>
      <c r="N469" s="129"/>
      <c r="O469" s="129"/>
      <c r="P469" s="309"/>
      <c r="Q469" s="309"/>
      <c r="R469" s="309"/>
      <c r="S469" s="309"/>
    </row>
    <row r="470" spans="1:19" x14ac:dyDescent="0.25">
      <c r="A470" s="126">
        <v>4</v>
      </c>
      <c r="B470" s="126">
        <v>3</v>
      </c>
      <c r="C470" s="126"/>
      <c r="D470" s="126"/>
      <c r="E470" s="126"/>
      <c r="F470" s="126" t="s">
        <v>440</v>
      </c>
      <c r="G470" s="126"/>
      <c r="H470" s="126"/>
      <c r="I470" s="126"/>
      <c r="J470" s="129"/>
      <c r="K470" s="129"/>
      <c r="L470" s="126"/>
      <c r="M470" s="129"/>
      <c r="N470" s="129"/>
      <c r="O470" s="129"/>
      <c r="P470" s="309"/>
      <c r="Q470" s="309"/>
      <c r="R470" s="309"/>
      <c r="S470" s="309"/>
    </row>
    <row r="471" spans="1:19" x14ac:dyDescent="0.25">
      <c r="A471" s="127">
        <v>4</v>
      </c>
      <c r="B471" s="127">
        <v>3</v>
      </c>
      <c r="C471" s="127">
        <v>1</v>
      </c>
      <c r="D471" s="127"/>
      <c r="E471" s="127"/>
      <c r="F471" s="128" t="s">
        <v>441</v>
      </c>
      <c r="G471" s="128"/>
      <c r="H471" s="128"/>
      <c r="I471" s="128"/>
      <c r="J471" s="129"/>
      <c r="K471" s="129"/>
      <c r="L471" s="128"/>
      <c r="M471" s="129"/>
      <c r="N471" s="129"/>
      <c r="O471" s="129"/>
      <c r="P471" s="309"/>
      <c r="Q471" s="309"/>
      <c r="R471" s="309"/>
      <c r="S471" s="309"/>
    </row>
    <row r="472" spans="1:19" ht="24" x14ac:dyDescent="0.25">
      <c r="A472" s="127">
        <v>4</v>
      </c>
      <c r="B472" s="127">
        <v>3</v>
      </c>
      <c r="C472" s="127">
        <v>1</v>
      </c>
      <c r="D472" s="127">
        <v>1</v>
      </c>
      <c r="E472" s="127"/>
      <c r="F472" s="127" t="s">
        <v>442</v>
      </c>
      <c r="G472" s="127"/>
      <c r="H472" s="127"/>
      <c r="I472" s="127"/>
      <c r="J472" s="129"/>
      <c r="K472" s="129"/>
      <c r="L472" s="127"/>
      <c r="M472" s="129"/>
      <c r="N472" s="129"/>
      <c r="O472" s="129"/>
      <c r="P472" s="309"/>
      <c r="Q472" s="309"/>
      <c r="R472" s="309"/>
      <c r="S472" s="309"/>
    </row>
    <row r="473" spans="1:19" x14ac:dyDescent="0.25">
      <c r="A473" s="127">
        <v>4</v>
      </c>
      <c r="B473" s="127">
        <v>3</v>
      </c>
      <c r="C473" s="127">
        <v>1</v>
      </c>
      <c r="D473" s="127">
        <v>9</v>
      </c>
      <c r="E473" s="127"/>
      <c r="F473" s="127" t="s">
        <v>443</v>
      </c>
      <c r="G473" s="127"/>
      <c r="H473" s="127"/>
      <c r="I473" s="127"/>
      <c r="J473" s="129"/>
      <c r="K473" s="129"/>
      <c r="L473" s="127"/>
      <c r="M473" s="129"/>
      <c r="N473" s="129"/>
      <c r="O473" s="129"/>
      <c r="P473" s="309"/>
      <c r="Q473" s="309"/>
      <c r="R473" s="309"/>
      <c r="S473" s="309"/>
    </row>
    <row r="474" spans="1:19" x14ac:dyDescent="0.25">
      <c r="A474" s="127">
        <v>4</v>
      </c>
      <c r="B474" s="127">
        <v>3</v>
      </c>
      <c r="C474" s="127">
        <v>2</v>
      </c>
      <c r="D474" s="127"/>
      <c r="E474" s="127"/>
      <c r="F474" s="128" t="s">
        <v>55</v>
      </c>
      <c r="G474" s="128"/>
      <c r="H474" s="128"/>
      <c r="I474" s="128"/>
      <c r="J474" s="129"/>
      <c r="K474" s="129"/>
      <c r="L474" s="128"/>
      <c r="M474" s="129"/>
      <c r="N474" s="129"/>
      <c r="O474" s="129"/>
      <c r="P474" s="309"/>
      <c r="Q474" s="309"/>
      <c r="R474" s="309"/>
      <c r="S474" s="309"/>
    </row>
    <row r="475" spans="1:19" ht="24" x14ac:dyDescent="0.25">
      <c r="A475" s="127">
        <v>4</v>
      </c>
      <c r="B475" s="127">
        <v>3</v>
      </c>
      <c r="C475" s="127">
        <v>2</v>
      </c>
      <c r="D475" s="127">
        <v>1</v>
      </c>
      <c r="E475" s="127"/>
      <c r="F475" s="127" t="s">
        <v>444</v>
      </c>
      <c r="G475" s="127"/>
      <c r="H475" s="127"/>
      <c r="I475" s="127"/>
      <c r="J475" s="129"/>
      <c r="K475" s="129"/>
      <c r="L475" s="127"/>
      <c r="M475" s="129"/>
      <c r="N475" s="129"/>
      <c r="O475" s="129"/>
      <c r="P475" s="309"/>
      <c r="Q475" s="309"/>
      <c r="R475" s="309"/>
      <c r="S475" s="309"/>
    </row>
    <row r="476" spans="1:19" ht="24" x14ac:dyDescent="0.25">
      <c r="A476" s="127">
        <v>4</v>
      </c>
      <c r="B476" s="127">
        <v>3</v>
      </c>
      <c r="C476" s="127">
        <v>2</v>
      </c>
      <c r="D476" s="127">
        <v>2</v>
      </c>
      <c r="E476" s="127"/>
      <c r="F476" s="127" t="s">
        <v>445</v>
      </c>
      <c r="G476" s="127"/>
      <c r="H476" s="127"/>
      <c r="I476" s="127"/>
      <c r="J476" s="129"/>
      <c r="K476" s="129"/>
      <c r="L476" s="127"/>
      <c r="M476" s="129"/>
      <c r="N476" s="129"/>
      <c r="O476" s="129"/>
      <c r="P476" s="309"/>
      <c r="Q476" s="309"/>
      <c r="R476" s="309"/>
      <c r="S476" s="309"/>
    </row>
    <row r="477" spans="1:19" ht="24" x14ac:dyDescent="0.25">
      <c r="A477" s="127">
        <v>4</v>
      </c>
      <c r="B477" s="127">
        <v>3</v>
      </c>
      <c r="C477" s="127">
        <v>2</v>
      </c>
      <c r="D477" s="127">
        <v>3</v>
      </c>
      <c r="E477" s="127"/>
      <c r="F477" s="127" t="s">
        <v>446</v>
      </c>
      <c r="G477" s="127"/>
      <c r="H477" s="127"/>
      <c r="I477" s="127"/>
      <c r="J477" s="129"/>
      <c r="K477" s="129"/>
      <c r="L477" s="127"/>
      <c r="M477" s="129"/>
      <c r="N477" s="129"/>
      <c r="O477" s="129"/>
      <c r="P477" s="309"/>
      <c r="Q477" s="309"/>
      <c r="R477" s="309"/>
      <c r="S477" s="309"/>
    </row>
    <row r="478" spans="1:19" ht="24" x14ac:dyDescent="0.25">
      <c r="A478" s="127">
        <v>4</v>
      </c>
      <c r="B478" s="127">
        <v>3</v>
      </c>
      <c r="C478" s="127">
        <v>2</v>
      </c>
      <c r="D478" s="127">
        <v>4</v>
      </c>
      <c r="E478" s="127"/>
      <c r="F478" s="127" t="s">
        <v>447</v>
      </c>
      <c r="G478" s="127"/>
      <c r="H478" s="127"/>
      <c r="I478" s="127"/>
      <c r="J478" s="129"/>
      <c r="K478" s="129"/>
      <c r="L478" s="127"/>
      <c r="M478" s="129"/>
      <c r="N478" s="129"/>
      <c r="O478" s="129"/>
      <c r="P478" s="309"/>
      <c r="Q478" s="309"/>
      <c r="R478" s="309"/>
      <c r="S478" s="309"/>
    </row>
    <row r="479" spans="1:19" ht="24" x14ac:dyDescent="0.25">
      <c r="A479" s="127">
        <v>4</v>
      </c>
      <c r="B479" s="127">
        <v>3</v>
      </c>
      <c r="C479" s="127">
        <v>2</v>
      </c>
      <c r="D479" s="127">
        <v>5</v>
      </c>
      <c r="E479" s="127"/>
      <c r="F479" s="127" t="s">
        <v>448</v>
      </c>
      <c r="G479" s="127"/>
      <c r="H479" s="127"/>
      <c r="I479" s="127"/>
      <c r="J479" s="129"/>
      <c r="K479" s="129"/>
      <c r="L479" s="127"/>
      <c r="M479" s="129"/>
      <c r="N479" s="129"/>
      <c r="O479" s="129"/>
      <c r="P479" s="309"/>
      <c r="Q479" s="309"/>
      <c r="R479" s="309"/>
      <c r="S479" s="309"/>
    </row>
    <row r="480" spans="1:19" ht="24" x14ac:dyDescent="0.25">
      <c r="A480" s="127">
        <v>4</v>
      </c>
      <c r="B480" s="127">
        <v>3</v>
      </c>
      <c r="C480" s="127">
        <v>3</v>
      </c>
      <c r="D480" s="127"/>
      <c r="E480" s="127"/>
      <c r="F480" s="128" t="s">
        <v>56</v>
      </c>
      <c r="G480" s="128"/>
      <c r="H480" s="128"/>
      <c r="I480" s="128"/>
      <c r="J480" s="129"/>
      <c r="K480" s="129"/>
      <c r="L480" s="128"/>
      <c r="M480" s="129"/>
      <c r="N480" s="129"/>
      <c r="O480" s="129"/>
      <c r="P480" s="309"/>
      <c r="Q480" s="309"/>
      <c r="R480" s="309"/>
      <c r="S480" s="309"/>
    </row>
    <row r="481" spans="1:19" ht="24" x14ac:dyDescent="0.25">
      <c r="A481" s="127">
        <v>4</v>
      </c>
      <c r="B481" s="127">
        <v>3</v>
      </c>
      <c r="C481" s="127">
        <v>3</v>
      </c>
      <c r="D481" s="127">
        <v>1</v>
      </c>
      <c r="E481" s="127"/>
      <c r="F481" s="127" t="s">
        <v>56</v>
      </c>
      <c r="G481" s="127"/>
      <c r="H481" s="127"/>
      <c r="I481" s="127"/>
      <c r="J481" s="129"/>
      <c r="K481" s="129"/>
      <c r="L481" s="127"/>
      <c r="M481" s="129"/>
      <c r="N481" s="129"/>
      <c r="O481" s="129"/>
      <c r="P481" s="309"/>
      <c r="Q481" s="309"/>
      <c r="R481" s="309"/>
      <c r="S481" s="309"/>
    </row>
    <row r="482" spans="1:19" x14ac:dyDescent="0.25">
      <c r="A482" s="127">
        <v>4</v>
      </c>
      <c r="B482" s="127">
        <v>3</v>
      </c>
      <c r="C482" s="127">
        <v>4</v>
      </c>
      <c r="D482" s="127"/>
      <c r="E482" s="127"/>
      <c r="F482" s="128" t="s">
        <v>57</v>
      </c>
      <c r="G482" s="128"/>
      <c r="H482" s="128"/>
      <c r="I482" s="128"/>
      <c r="J482" s="129"/>
      <c r="K482" s="129"/>
      <c r="L482" s="128"/>
      <c r="M482" s="129"/>
      <c r="N482" s="129"/>
      <c r="O482" s="129"/>
      <c r="P482" s="309"/>
      <c r="Q482" s="309"/>
      <c r="R482" s="309"/>
      <c r="S482" s="309"/>
    </row>
    <row r="483" spans="1:19" x14ac:dyDescent="0.25">
      <c r="A483" s="127">
        <v>4</v>
      </c>
      <c r="B483" s="127">
        <v>3</v>
      </c>
      <c r="C483" s="127">
        <v>4</v>
      </c>
      <c r="D483" s="127">
        <v>1</v>
      </c>
      <c r="E483" s="127"/>
      <c r="F483" s="127" t="s">
        <v>449</v>
      </c>
      <c r="G483" s="127"/>
      <c r="H483" s="127"/>
      <c r="I483" s="127"/>
      <c r="J483" s="129"/>
      <c r="K483" s="129"/>
      <c r="L483" s="127"/>
      <c r="M483" s="129"/>
      <c r="N483" s="129"/>
      <c r="O483" s="129"/>
      <c r="P483" s="309"/>
      <c r="Q483" s="309"/>
      <c r="R483" s="309"/>
      <c r="S483" s="309"/>
    </row>
    <row r="484" spans="1:19" x14ac:dyDescent="0.25">
      <c r="A484" s="127">
        <v>4</v>
      </c>
      <c r="B484" s="127">
        <v>3</v>
      </c>
      <c r="C484" s="127">
        <v>9</v>
      </c>
      <c r="D484" s="127"/>
      <c r="E484" s="127"/>
      <c r="F484" s="128" t="s">
        <v>58</v>
      </c>
      <c r="G484" s="128"/>
      <c r="H484" s="128"/>
      <c r="I484" s="128"/>
      <c r="J484" s="129"/>
      <c r="K484" s="129"/>
      <c r="L484" s="128"/>
      <c r="M484" s="129"/>
      <c r="N484" s="129"/>
      <c r="O484" s="129"/>
      <c r="P484" s="309"/>
      <c r="Q484" s="309"/>
      <c r="R484" s="309"/>
      <c r="S484" s="309"/>
    </row>
    <row r="485" spans="1:19" x14ac:dyDescent="0.25">
      <c r="A485" s="127">
        <v>4</v>
      </c>
      <c r="B485" s="127">
        <v>3</v>
      </c>
      <c r="C485" s="127">
        <v>9</v>
      </c>
      <c r="D485" s="127">
        <v>1</v>
      </c>
      <c r="E485" s="127"/>
      <c r="F485" s="127" t="s">
        <v>450</v>
      </c>
      <c r="G485" s="127"/>
      <c r="H485" s="127"/>
      <c r="I485" s="127"/>
      <c r="J485" s="129"/>
      <c r="K485" s="129"/>
      <c r="L485" s="127"/>
      <c r="M485" s="129"/>
      <c r="N485" s="129"/>
      <c r="O485" s="129"/>
      <c r="P485" s="309"/>
      <c r="Q485" s="309"/>
      <c r="R485" s="309"/>
      <c r="S485" s="309"/>
    </row>
    <row r="486" spans="1:19" x14ac:dyDescent="0.25">
      <c r="A486" s="127">
        <v>4</v>
      </c>
      <c r="B486" s="127">
        <v>3</v>
      </c>
      <c r="C486" s="127">
        <v>9</v>
      </c>
      <c r="D486" s="127">
        <v>2</v>
      </c>
      <c r="E486" s="127"/>
      <c r="F486" s="127" t="s">
        <v>451</v>
      </c>
      <c r="G486" s="127"/>
      <c r="H486" s="127"/>
      <c r="I486" s="127"/>
      <c r="J486" s="129"/>
      <c r="K486" s="129"/>
      <c r="L486" s="127"/>
      <c r="M486" s="129"/>
      <c r="N486" s="129"/>
      <c r="O486" s="129"/>
      <c r="P486" s="309"/>
      <c r="Q486" s="309"/>
      <c r="R486" s="309"/>
      <c r="S486" s="309"/>
    </row>
    <row r="487" spans="1:19" ht="24" x14ac:dyDescent="0.25">
      <c r="A487" s="127">
        <v>4</v>
      </c>
      <c r="B487" s="127">
        <v>3</v>
      </c>
      <c r="C487" s="127">
        <v>9</v>
      </c>
      <c r="D487" s="127">
        <v>3</v>
      </c>
      <c r="E487" s="127"/>
      <c r="F487" s="127" t="s">
        <v>452</v>
      </c>
      <c r="G487" s="127"/>
      <c r="H487" s="127"/>
      <c r="I487" s="127"/>
      <c r="J487" s="129"/>
      <c r="K487" s="129"/>
      <c r="L487" s="127"/>
      <c r="M487" s="129"/>
      <c r="N487" s="129"/>
      <c r="O487" s="129"/>
      <c r="P487" s="309"/>
      <c r="Q487" s="309"/>
      <c r="R487" s="309"/>
      <c r="S487" s="309"/>
    </row>
    <row r="488" spans="1:19" ht="24" x14ac:dyDescent="0.25">
      <c r="A488" s="127">
        <v>4</v>
      </c>
      <c r="B488" s="127">
        <v>3</v>
      </c>
      <c r="C488" s="127">
        <v>9</v>
      </c>
      <c r="D488" s="127">
        <v>4</v>
      </c>
      <c r="E488" s="127"/>
      <c r="F488" s="127" t="s">
        <v>453</v>
      </c>
      <c r="G488" s="127"/>
      <c r="H488" s="127"/>
      <c r="I488" s="127"/>
      <c r="J488" s="129"/>
      <c r="K488" s="129"/>
      <c r="L488" s="127"/>
      <c r="M488" s="129"/>
      <c r="N488" s="129"/>
      <c r="O488" s="129"/>
      <c r="P488" s="309"/>
      <c r="Q488" s="309"/>
      <c r="R488" s="309"/>
      <c r="S488" s="309"/>
    </row>
    <row r="489" spans="1:19" x14ac:dyDescent="0.25">
      <c r="A489" s="127">
        <v>4</v>
      </c>
      <c r="B489" s="127">
        <v>3</v>
      </c>
      <c r="C489" s="127">
        <v>9</v>
      </c>
      <c r="D489" s="127">
        <v>5</v>
      </c>
      <c r="E489" s="127"/>
      <c r="F489" s="127" t="s">
        <v>148</v>
      </c>
      <c r="G489" s="127"/>
      <c r="H489" s="127"/>
      <c r="I489" s="127"/>
      <c r="J489" s="129"/>
      <c r="K489" s="129"/>
      <c r="L489" s="127"/>
      <c r="M489" s="129"/>
      <c r="N489" s="129"/>
      <c r="O489" s="129"/>
      <c r="P489" s="309"/>
      <c r="Q489" s="309"/>
      <c r="R489" s="309"/>
      <c r="S489" s="309"/>
    </row>
    <row r="490" spans="1:19" x14ac:dyDescent="0.25">
      <c r="A490" s="127">
        <v>4</v>
      </c>
      <c r="B490" s="127">
        <v>3</v>
      </c>
      <c r="C490" s="127">
        <v>9</v>
      </c>
      <c r="D490" s="127">
        <v>6</v>
      </c>
      <c r="E490" s="127"/>
      <c r="F490" s="127" t="s">
        <v>454</v>
      </c>
      <c r="G490" s="127"/>
      <c r="H490" s="127"/>
      <c r="I490" s="127"/>
      <c r="J490" s="129"/>
      <c r="K490" s="129"/>
      <c r="L490" s="127"/>
      <c r="M490" s="129"/>
      <c r="N490" s="129"/>
      <c r="O490" s="129"/>
      <c r="P490" s="309"/>
      <c r="Q490" s="309"/>
      <c r="R490" s="309"/>
      <c r="S490" s="309"/>
    </row>
    <row r="491" spans="1:19" x14ac:dyDescent="0.25">
      <c r="A491" s="127">
        <v>4</v>
      </c>
      <c r="B491" s="127">
        <v>3</v>
      </c>
      <c r="C491" s="127">
        <v>9</v>
      </c>
      <c r="D491" s="127">
        <v>9</v>
      </c>
      <c r="E491" s="127"/>
      <c r="F491" s="127" t="s">
        <v>58</v>
      </c>
      <c r="G491" s="127"/>
      <c r="H491" s="127"/>
      <c r="I491" s="127"/>
      <c r="J491" s="129"/>
      <c r="K491" s="129"/>
      <c r="L491" s="127"/>
      <c r="M491" s="129"/>
      <c r="N491" s="129"/>
      <c r="O491" s="129"/>
      <c r="P491" s="309"/>
      <c r="Q491" s="309"/>
      <c r="R491" s="309"/>
      <c r="S491" s="309"/>
    </row>
    <row r="492" spans="1:19" x14ac:dyDescent="0.25">
      <c r="A492" s="136">
        <v>5</v>
      </c>
      <c r="B492" s="136"/>
      <c r="C492" s="136"/>
      <c r="D492" s="136"/>
      <c r="E492" s="136"/>
      <c r="F492" s="136" t="s">
        <v>455</v>
      </c>
      <c r="G492" s="131">
        <f>G493+G594+G627+G637+G652</f>
        <v>16196320</v>
      </c>
      <c r="H492" s="131">
        <f>H493+H594+H627+H637+H652</f>
        <v>5431090</v>
      </c>
      <c r="I492" s="131">
        <f>I493+I594+I627+I637+I652</f>
        <v>0</v>
      </c>
      <c r="J492" s="131">
        <f>J493+J594+J627+J637+J652</f>
        <v>5431090</v>
      </c>
      <c r="K492" s="131"/>
      <c r="L492" s="131">
        <f>L493+L594+L627+L637+L652</f>
        <v>27173834</v>
      </c>
      <c r="M492" s="131"/>
      <c r="N492" s="131"/>
      <c r="O492" s="131">
        <f t="shared" ref="O492" si="107">O493+O594+O627+O637+O652</f>
        <v>26856217</v>
      </c>
      <c r="P492" s="309"/>
      <c r="Q492" s="309"/>
      <c r="R492" s="309"/>
      <c r="S492" s="309"/>
    </row>
    <row r="493" spans="1:19" x14ac:dyDescent="0.25">
      <c r="A493" s="126">
        <v>5</v>
      </c>
      <c r="B493" s="126">
        <v>1</v>
      </c>
      <c r="C493" s="126"/>
      <c r="D493" s="126"/>
      <c r="E493" s="126"/>
      <c r="F493" s="126" t="s">
        <v>456</v>
      </c>
      <c r="G493" s="145">
        <f>+G494+G509+G541</f>
        <v>16196320</v>
      </c>
      <c r="H493" s="145">
        <f>+H494+H509+H541</f>
        <v>5252590</v>
      </c>
      <c r="I493" s="145">
        <f>+I494+I509+I541</f>
        <v>0</v>
      </c>
      <c r="J493" s="145">
        <f>+J494+J509+J541</f>
        <v>5252590</v>
      </c>
      <c r="K493" s="145"/>
      <c r="L493" s="145">
        <f>+L494+L509+L541</f>
        <v>27034134</v>
      </c>
      <c r="M493" s="145"/>
      <c r="N493" s="145"/>
      <c r="O493" s="145">
        <f t="shared" ref="O493" si="108">+O494+O509+O541</f>
        <v>26856217</v>
      </c>
      <c r="P493" s="309"/>
      <c r="Q493" s="309"/>
      <c r="R493" s="309"/>
      <c r="S493" s="309"/>
    </row>
    <row r="494" spans="1:19" x14ac:dyDescent="0.25">
      <c r="A494" s="127">
        <v>5</v>
      </c>
      <c r="B494" s="127">
        <v>1</v>
      </c>
      <c r="C494" s="127">
        <v>1</v>
      </c>
      <c r="D494" s="127"/>
      <c r="E494" s="127"/>
      <c r="F494" s="128" t="s">
        <v>218</v>
      </c>
      <c r="G494" s="468">
        <f>+G495+G497+G499+G503+G506</f>
        <v>11693719</v>
      </c>
      <c r="H494" s="468">
        <f t="shared" ref="H494:J494" si="109">+H495+H497+H499+H503+H506</f>
        <v>2835746</v>
      </c>
      <c r="I494" s="468">
        <f t="shared" si="109"/>
        <v>0</v>
      </c>
      <c r="J494" s="468">
        <f t="shared" si="109"/>
        <v>2835746</v>
      </c>
      <c r="K494" s="468"/>
      <c r="L494" s="468">
        <f>+L495+L497+L499+L503+L506</f>
        <v>12425115</v>
      </c>
      <c r="M494" s="468"/>
      <c r="N494" s="468"/>
      <c r="O494" s="468">
        <f t="shared" ref="O494" si="110">+O495+O497+O499+O503+O506</f>
        <v>12294141</v>
      </c>
      <c r="P494" s="309"/>
      <c r="Q494" s="309"/>
      <c r="R494" s="309"/>
      <c r="S494" s="309"/>
    </row>
    <row r="495" spans="1:19" ht="24" x14ac:dyDescent="0.25">
      <c r="A495" s="127">
        <v>5</v>
      </c>
      <c r="B495" s="127">
        <v>1</v>
      </c>
      <c r="C495" s="127">
        <v>1</v>
      </c>
      <c r="D495" s="127">
        <v>1</v>
      </c>
      <c r="E495" s="127"/>
      <c r="F495" s="127" t="s">
        <v>457</v>
      </c>
      <c r="G495" s="129">
        <f t="shared" ref="G495:I495" si="111">G496</f>
        <v>7499568</v>
      </c>
      <c r="H495" s="129">
        <f t="shared" si="111"/>
        <v>2403644</v>
      </c>
      <c r="I495" s="129">
        <f t="shared" si="111"/>
        <v>0</v>
      </c>
      <c r="J495" s="129">
        <f>J496</f>
        <v>2403644</v>
      </c>
      <c r="K495" s="129"/>
      <c r="L495" s="129">
        <f t="shared" ref="L495" si="112">L496</f>
        <v>7766665</v>
      </c>
      <c r="M495" s="129"/>
      <c r="N495" s="129"/>
      <c r="O495" s="129">
        <f>O496</f>
        <v>7766665</v>
      </c>
      <c r="P495" s="309"/>
      <c r="Q495" s="309"/>
      <c r="R495" s="309"/>
      <c r="S495" s="309"/>
    </row>
    <row r="496" spans="1:19" x14ac:dyDescent="0.25">
      <c r="A496" s="127"/>
      <c r="B496" s="127"/>
      <c r="C496" s="127"/>
      <c r="D496" s="127"/>
      <c r="E496" s="127">
        <v>31</v>
      </c>
      <c r="F496" s="127" t="s">
        <v>756</v>
      </c>
      <c r="G496" s="129">
        <f>646717+646717+621093+1+621093+621094+621093+621093+621094+628361+628361+607889+614963-1</f>
        <v>7499568</v>
      </c>
      <c r="H496" s="129">
        <v>2403644</v>
      </c>
      <c r="I496" s="127"/>
      <c r="J496" s="129">
        <f>H496</f>
        <v>2403644</v>
      </c>
      <c r="K496" s="129"/>
      <c r="L496" s="140">
        <v>7766665</v>
      </c>
      <c r="M496" s="129"/>
      <c r="N496" s="129"/>
      <c r="O496" s="129">
        <f>+L496+M496-N496</f>
        <v>7766665</v>
      </c>
      <c r="P496" s="309"/>
      <c r="Q496" s="309"/>
      <c r="R496" s="309"/>
      <c r="S496" s="309"/>
    </row>
    <row r="497" spans="1:19" x14ac:dyDescent="0.25">
      <c r="A497" s="127">
        <v>5</v>
      </c>
      <c r="B497" s="127">
        <v>1</v>
      </c>
      <c r="C497" s="127">
        <v>1</v>
      </c>
      <c r="D497" s="127">
        <v>2</v>
      </c>
      <c r="E497" s="127"/>
      <c r="F497" s="127" t="s">
        <v>458</v>
      </c>
      <c r="G497" s="129">
        <f t="shared" ref="G497:I497" si="113">+G498</f>
        <v>1530014</v>
      </c>
      <c r="H497" s="129">
        <f t="shared" si="113"/>
        <v>172094</v>
      </c>
      <c r="I497" s="129">
        <f t="shared" si="113"/>
        <v>0</v>
      </c>
      <c r="J497" s="129">
        <f>+J498</f>
        <v>172094</v>
      </c>
      <c r="K497" s="129"/>
      <c r="L497" s="129">
        <f t="shared" ref="L497" si="114">+L498</f>
        <v>1778566</v>
      </c>
      <c r="M497" s="129"/>
      <c r="N497" s="129"/>
      <c r="O497" s="129">
        <f>+O498</f>
        <v>1778566</v>
      </c>
      <c r="P497" s="309"/>
      <c r="Q497" s="309"/>
      <c r="R497" s="309"/>
      <c r="S497" s="309"/>
    </row>
    <row r="498" spans="1:19" x14ac:dyDescent="0.25">
      <c r="A498" s="127"/>
      <c r="B498" s="127"/>
      <c r="C498" s="127"/>
      <c r="D498" s="127"/>
      <c r="E498" s="127">
        <v>11</v>
      </c>
      <c r="F498" s="127" t="s">
        <v>757</v>
      </c>
      <c r="G498" s="129">
        <f>127192+111068+106443+111068+115692+115692+2+111068+148301+148301+148301+139052+147835-1</f>
        <v>1530014</v>
      </c>
      <c r="H498" s="129">
        <v>172094</v>
      </c>
      <c r="I498" s="127"/>
      <c r="J498" s="129">
        <f>H498</f>
        <v>172094</v>
      </c>
      <c r="K498" s="129"/>
      <c r="L498" s="140">
        <v>1778566</v>
      </c>
      <c r="M498" s="129"/>
      <c r="N498" s="129"/>
      <c r="O498" s="129">
        <f>+L498+M498-N498</f>
        <v>1778566</v>
      </c>
      <c r="P498" s="309"/>
      <c r="Q498" s="309"/>
      <c r="R498" s="309"/>
      <c r="S498" s="309"/>
    </row>
    <row r="499" spans="1:19" x14ac:dyDescent="0.25">
      <c r="A499" s="127">
        <v>5</v>
      </c>
      <c r="B499" s="127">
        <v>1</v>
      </c>
      <c r="C499" s="127">
        <v>1</v>
      </c>
      <c r="D499" s="127">
        <v>3</v>
      </c>
      <c r="E499" s="127"/>
      <c r="F499" s="127" t="s">
        <v>459</v>
      </c>
      <c r="G499" s="129">
        <f t="shared" ref="G499" si="115">+G500+G501+G502</f>
        <v>912557</v>
      </c>
      <c r="H499" s="129">
        <f t="shared" ref="H499:J499" si="116">+H500+H501+H502</f>
        <v>4586</v>
      </c>
      <c r="I499" s="129">
        <f t="shared" si="116"/>
        <v>0</v>
      </c>
      <c r="J499" s="129">
        <f t="shared" si="116"/>
        <v>4586</v>
      </c>
      <c r="K499" s="129"/>
      <c r="L499" s="129">
        <f>+L500+L501+L502</f>
        <v>1034600</v>
      </c>
      <c r="M499" s="129"/>
      <c r="N499" s="129"/>
      <c r="O499" s="129">
        <f>+O500+O501</f>
        <v>903626</v>
      </c>
      <c r="P499" s="309"/>
      <c r="Q499" s="309"/>
      <c r="R499" s="309"/>
      <c r="S499" s="309"/>
    </row>
    <row r="500" spans="1:19" x14ac:dyDescent="0.25">
      <c r="A500" s="127"/>
      <c r="B500" s="127"/>
      <c r="C500" s="127"/>
      <c r="D500" s="127"/>
      <c r="E500" s="127"/>
      <c r="F500" s="127" t="s">
        <v>758</v>
      </c>
      <c r="G500" s="129">
        <f>139181+146801</f>
        <v>285982</v>
      </c>
      <c r="H500" s="129">
        <v>2338</v>
      </c>
      <c r="I500" s="127"/>
      <c r="J500" s="129">
        <f t="shared" ref="J500:J502" si="117">H500</f>
        <v>2338</v>
      </c>
      <c r="K500" s="129"/>
      <c r="L500" s="140">
        <v>290047</v>
      </c>
      <c r="M500" s="129"/>
      <c r="N500" s="129"/>
      <c r="O500" s="129">
        <f t="shared" ref="O500:O508" si="118">+L500+M500-N500</f>
        <v>290047</v>
      </c>
      <c r="P500" s="309"/>
      <c r="Q500" s="309"/>
      <c r="R500" s="309"/>
      <c r="S500" s="309"/>
    </row>
    <row r="501" spans="1:19" x14ac:dyDescent="0.25">
      <c r="A501" s="127"/>
      <c r="B501" s="127"/>
      <c r="C501" s="127"/>
      <c r="D501" s="127"/>
      <c r="E501" s="127"/>
      <c r="F501" s="127" t="s">
        <v>759</v>
      </c>
      <c r="G501" s="129">
        <v>626575</v>
      </c>
      <c r="H501" s="129">
        <v>2248</v>
      </c>
      <c r="I501" s="127"/>
      <c r="J501" s="129">
        <f t="shared" si="117"/>
        <v>2248</v>
      </c>
      <c r="K501" s="129"/>
      <c r="L501" s="140">
        <v>613579</v>
      </c>
      <c r="M501" s="129"/>
      <c r="N501" s="129"/>
      <c r="O501" s="129">
        <f t="shared" si="118"/>
        <v>613579</v>
      </c>
      <c r="P501" s="309"/>
      <c r="Q501" s="309"/>
      <c r="R501" s="309"/>
      <c r="S501" s="309"/>
    </row>
    <row r="502" spans="1:19" x14ac:dyDescent="0.25">
      <c r="A502" s="127"/>
      <c r="B502" s="127"/>
      <c r="C502" s="127"/>
      <c r="D502" s="127"/>
      <c r="E502" s="127"/>
      <c r="F502" s="127" t="s">
        <v>834</v>
      </c>
      <c r="G502" s="129">
        <v>0</v>
      </c>
      <c r="H502" s="129">
        <v>0</v>
      </c>
      <c r="I502" s="127"/>
      <c r="J502" s="129">
        <f t="shared" si="117"/>
        <v>0</v>
      </c>
      <c r="K502" s="129"/>
      <c r="L502" s="140">
        <v>130974</v>
      </c>
      <c r="M502" s="129"/>
      <c r="N502" s="129"/>
      <c r="O502" s="129">
        <f t="shared" si="118"/>
        <v>130974</v>
      </c>
      <c r="P502" s="309"/>
      <c r="Q502" s="309"/>
      <c r="R502" s="309"/>
      <c r="S502" s="309"/>
    </row>
    <row r="503" spans="1:19" x14ac:dyDescent="0.25">
      <c r="A503" s="127">
        <v>5</v>
      </c>
      <c r="B503" s="127">
        <v>1</v>
      </c>
      <c r="C503" s="127">
        <v>1</v>
      </c>
      <c r="D503" s="127">
        <v>4</v>
      </c>
      <c r="E503" s="127"/>
      <c r="F503" s="127" t="s">
        <v>460</v>
      </c>
      <c r="G503" s="129">
        <f t="shared" ref="G503" si="119">+G504+G505</f>
        <v>1751580</v>
      </c>
      <c r="H503" s="129">
        <f t="shared" ref="H503:I503" si="120">+H504+H505</f>
        <v>255422</v>
      </c>
      <c r="I503" s="129">
        <f t="shared" si="120"/>
        <v>0</v>
      </c>
      <c r="J503" s="129">
        <f>+J504+J505</f>
        <v>255422</v>
      </c>
      <c r="K503" s="129"/>
      <c r="L503" s="129">
        <f t="shared" ref="L503" si="121">+L504+L505</f>
        <v>1812284</v>
      </c>
      <c r="M503" s="129"/>
      <c r="N503" s="129"/>
      <c r="O503" s="129">
        <f>+O504+O505</f>
        <v>1812284</v>
      </c>
      <c r="P503" s="309"/>
      <c r="Q503" s="309"/>
      <c r="R503" s="309"/>
      <c r="S503" s="309"/>
    </row>
    <row r="504" spans="1:19" x14ac:dyDescent="0.25">
      <c r="A504" s="127"/>
      <c r="B504" s="127"/>
      <c r="C504" s="127"/>
      <c r="D504" s="127"/>
      <c r="E504" s="127"/>
      <c r="F504" s="127" t="s">
        <v>761</v>
      </c>
      <c r="G504" s="129">
        <f>107325+106647+111539+102871+103549+108793+102871+107941+109166+109166+113517+105805+2</f>
        <v>1289192</v>
      </c>
      <c r="H504" s="129">
        <v>168100</v>
      </c>
      <c r="I504" s="127"/>
      <c r="J504" s="129">
        <f>H504</f>
        <v>168100</v>
      </c>
      <c r="K504" s="129"/>
      <c r="L504" s="140">
        <v>1318018</v>
      </c>
      <c r="M504" s="129"/>
      <c r="N504" s="129"/>
      <c r="O504" s="129">
        <f t="shared" si="118"/>
        <v>1318018</v>
      </c>
      <c r="P504" s="309"/>
      <c r="Q504" s="309"/>
      <c r="R504" s="309"/>
      <c r="S504" s="309"/>
    </row>
    <row r="505" spans="1:19" x14ac:dyDescent="0.25">
      <c r="A505" s="127"/>
      <c r="B505" s="127"/>
      <c r="C505" s="127"/>
      <c r="D505" s="127"/>
      <c r="E505" s="127"/>
      <c r="F505" s="127" t="s">
        <v>760</v>
      </c>
      <c r="G505" s="129">
        <f>40826+40603+29511+39080+39304+39304+39080+40940-1+41328+1+41328+30938+40146</f>
        <v>462388</v>
      </c>
      <c r="H505" s="129">
        <v>87322</v>
      </c>
      <c r="I505" s="127"/>
      <c r="J505" s="129">
        <f>H505</f>
        <v>87322</v>
      </c>
      <c r="K505" s="129"/>
      <c r="L505" s="140">
        <v>494266</v>
      </c>
      <c r="M505" s="129"/>
      <c r="N505" s="129"/>
      <c r="O505" s="129">
        <f t="shared" si="118"/>
        <v>494266</v>
      </c>
      <c r="P505" s="309"/>
      <c r="Q505" s="309"/>
      <c r="R505" s="309"/>
      <c r="S505" s="309"/>
    </row>
    <row r="506" spans="1:19" x14ac:dyDescent="0.25">
      <c r="A506" s="127">
        <v>5</v>
      </c>
      <c r="B506" s="127">
        <v>1</v>
      </c>
      <c r="C506" s="127">
        <v>1</v>
      </c>
      <c r="D506" s="127">
        <v>5</v>
      </c>
      <c r="E506" s="127"/>
      <c r="F506" s="127" t="s">
        <v>461</v>
      </c>
      <c r="G506" s="140">
        <f t="shared" ref="G506:I506" si="122">G507</f>
        <v>0</v>
      </c>
      <c r="H506" s="140">
        <f t="shared" si="122"/>
        <v>0</v>
      </c>
      <c r="I506" s="140">
        <f t="shared" si="122"/>
        <v>0</v>
      </c>
      <c r="J506" s="129">
        <v>0</v>
      </c>
      <c r="K506" s="129"/>
      <c r="L506" s="140">
        <f>L507</f>
        <v>33000</v>
      </c>
      <c r="M506" s="129"/>
      <c r="N506" s="129"/>
      <c r="O506" s="129">
        <f t="shared" si="118"/>
        <v>33000</v>
      </c>
      <c r="P506" s="309"/>
      <c r="Q506" s="309"/>
      <c r="R506" s="309"/>
      <c r="S506" s="309"/>
    </row>
    <row r="507" spans="1:19" x14ac:dyDescent="0.25">
      <c r="A507" s="127"/>
      <c r="B507" s="127"/>
      <c r="C507" s="127"/>
      <c r="D507" s="127"/>
      <c r="E507" s="127"/>
      <c r="F507" s="127" t="s">
        <v>837</v>
      </c>
      <c r="G507" s="129">
        <v>0</v>
      </c>
      <c r="H507" s="129">
        <v>0</v>
      </c>
      <c r="I507" s="140"/>
      <c r="J507" s="129">
        <v>0</v>
      </c>
      <c r="K507" s="129"/>
      <c r="L507" s="140">
        <v>33000</v>
      </c>
      <c r="M507" s="129"/>
      <c r="N507" s="129"/>
      <c r="O507" s="129">
        <f t="shared" si="118"/>
        <v>33000</v>
      </c>
      <c r="P507" s="309"/>
      <c r="Q507" s="309"/>
      <c r="R507" s="309"/>
      <c r="S507" s="309"/>
    </row>
    <row r="508" spans="1:19" x14ac:dyDescent="0.25">
      <c r="A508" s="127">
        <v>5</v>
      </c>
      <c r="B508" s="127">
        <v>1</v>
      </c>
      <c r="C508" s="127">
        <v>1</v>
      </c>
      <c r="D508" s="127">
        <v>6</v>
      </c>
      <c r="E508" s="127"/>
      <c r="F508" s="127" t="s">
        <v>462</v>
      </c>
      <c r="G508" s="129"/>
      <c r="H508" s="129"/>
      <c r="I508" s="140"/>
      <c r="J508" s="129">
        <f t="shared" ref="J508" si="123">+G508+H508-I508</f>
        <v>0</v>
      </c>
      <c r="K508" s="129"/>
      <c r="L508" s="140">
        <v>0</v>
      </c>
      <c r="M508" s="129"/>
      <c r="N508" s="129"/>
      <c r="O508" s="129">
        <f t="shared" si="118"/>
        <v>0</v>
      </c>
      <c r="P508" s="309"/>
      <c r="Q508" s="309"/>
      <c r="R508" s="309"/>
      <c r="S508" s="309"/>
    </row>
    <row r="509" spans="1:19" x14ac:dyDescent="0.25">
      <c r="A509" s="125">
        <v>5</v>
      </c>
      <c r="B509" s="125">
        <v>1</v>
      </c>
      <c r="C509" s="125">
        <v>2</v>
      </c>
      <c r="D509" s="125"/>
      <c r="E509" s="125"/>
      <c r="F509" s="149" t="s">
        <v>63</v>
      </c>
      <c r="G509" s="469">
        <f t="shared" ref="G509:J509" si="124">+G510+G517+G520+G521+G525+G528+G530+G534+G536</f>
        <v>554279</v>
      </c>
      <c r="H509" s="469">
        <f t="shared" si="124"/>
        <v>110976</v>
      </c>
      <c r="I509" s="469">
        <f t="shared" si="124"/>
        <v>0</v>
      </c>
      <c r="J509" s="469">
        <f t="shared" si="124"/>
        <v>110976</v>
      </c>
      <c r="K509" s="469"/>
      <c r="L509" s="469">
        <f t="shared" ref="L509" si="125">+L510+L517+L520+L521+L525+L528+L530+L534+L536</f>
        <v>314193</v>
      </c>
      <c r="M509" s="469"/>
      <c r="N509" s="469"/>
      <c r="O509" s="469">
        <f t="shared" ref="O509" si="126">+O510+O517+O520+O521+O525+O528+O530+O534+O536</f>
        <v>314193</v>
      </c>
      <c r="P509" s="309"/>
      <c r="Q509" s="309"/>
      <c r="R509" s="309"/>
      <c r="S509" s="309"/>
    </row>
    <row r="510" spans="1:19" ht="24" x14ac:dyDescent="0.25">
      <c r="A510" s="127">
        <v>5</v>
      </c>
      <c r="B510" s="127">
        <v>1</v>
      </c>
      <c r="C510" s="127">
        <v>2</v>
      </c>
      <c r="D510" s="127">
        <v>1</v>
      </c>
      <c r="E510" s="127"/>
      <c r="F510" s="127" t="s">
        <v>463</v>
      </c>
      <c r="G510" s="129">
        <f t="shared" ref="G510" si="127">SUM(G511:G516)</f>
        <v>207261</v>
      </c>
      <c r="H510" s="129">
        <f t="shared" ref="H510:J510" si="128">SUM(H511:H516)</f>
        <v>52164</v>
      </c>
      <c r="I510" s="129">
        <f t="shared" si="128"/>
        <v>0</v>
      </c>
      <c r="J510" s="129">
        <f t="shared" si="128"/>
        <v>52164</v>
      </c>
      <c r="K510" s="129"/>
      <c r="L510" s="129">
        <f t="shared" ref="L510" si="129">SUM(L511:L516)</f>
        <v>144160</v>
      </c>
      <c r="M510" s="129"/>
      <c r="N510" s="129"/>
      <c r="O510" s="129">
        <f t="shared" ref="O510" si="130">SUM(O511:O516)</f>
        <v>144160</v>
      </c>
      <c r="P510" s="309"/>
      <c r="Q510" s="309"/>
      <c r="R510" s="309"/>
      <c r="S510" s="309"/>
    </row>
    <row r="511" spans="1:19" x14ac:dyDescent="0.25">
      <c r="A511" s="127"/>
      <c r="B511" s="127"/>
      <c r="C511" s="127"/>
      <c r="D511" s="127"/>
      <c r="E511" s="127"/>
      <c r="F511" s="127" t="s">
        <v>762</v>
      </c>
      <c r="G511" s="129">
        <f>2342+5264+0+35+12725+175+1+704+6497+4830-1+2640+19835</f>
        <v>55047</v>
      </c>
      <c r="H511" s="129">
        <v>4660</v>
      </c>
      <c r="I511" s="127"/>
      <c r="J511" s="129">
        <f>H511</f>
        <v>4660</v>
      </c>
      <c r="K511" s="129"/>
      <c r="L511" s="129">
        <v>43136</v>
      </c>
      <c r="M511" s="129"/>
      <c r="N511" s="129"/>
      <c r="O511" s="129">
        <f>+L511+M511-N511</f>
        <v>43136</v>
      </c>
      <c r="P511" s="309"/>
      <c r="Q511" s="309"/>
      <c r="R511" s="309"/>
      <c r="S511" s="309"/>
    </row>
    <row r="512" spans="1:19" x14ac:dyDescent="0.25">
      <c r="A512" s="127"/>
      <c r="B512" s="127"/>
      <c r="C512" s="127"/>
      <c r="D512" s="127"/>
      <c r="E512" s="127"/>
      <c r="F512" s="127" t="s">
        <v>763</v>
      </c>
      <c r="G512" s="129">
        <v>0</v>
      </c>
      <c r="H512" s="129">
        <v>0</v>
      </c>
      <c r="I512" s="127"/>
      <c r="J512" s="129">
        <f t="shared" ref="J512:J516" si="131">H512</f>
        <v>0</v>
      </c>
      <c r="K512" s="129"/>
      <c r="L512" s="129">
        <v>0</v>
      </c>
      <c r="M512" s="129"/>
      <c r="N512" s="129"/>
      <c r="O512" s="129">
        <f t="shared" ref="O512:O520" si="132">+L512+M512-N512</f>
        <v>0</v>
      </c>
      <c r="P512" s="309"/>
      <c r="Q512" s="309"/>
      <c r="R512" s="309"/>
      <c r="S512" s="309"/>
    </row>
    <row r="513" spans="1:19" ht="24" x14ac:dyDescent="0.25">
      <c r="A513" s="127"/>
      <c r="B513" s="127"/>
      <c r="C513" s="127"/>
      <c r="D513" s="127"/>
      <c r="E513" s="127"/>
      <c r="F513" s="127" t="s">
        <v>764</v>
      </c>
      <c r="G513" s="129">
        <f>0+22635+10942+27371+17026+0+10327+5308+18847+1225+10048</f>
        <v>123729</v>
      </c>
      <c r="H513" s="129">
        <v>38126</v>
      </c>
      <c r="I513" s="127"/>
      <c r="J513" s="129">
        <f t="shared" si="131"/>
        <v>38126</v>
      </c>
      <c r="K513" s="129"/>
      <c r="L513" s="129">
        <v>81687</v>
      </c>
      <c r="M513" s="129"/>
      <c r="N513" s="129"/>
      <c r="O513" s="129">
        <f t="shared" si="132"/>
        <v>81687</v>
      </c>
      <c r="P513" s="309"/>
      <c r="Q513" s="309"/>
      <c r="R513" s="309"/>
      <c r="S513" s="309"/>
    </row>
    <row r="514" spans="1:19" x14ac:dyDescent="0.25">
      <c r="A514" s="127"/>
      <c r="B514" s="127"/>
      <c r="C514" s="127"/>
      <c r="D514" s="127"/>
      <c r="E514" s="127"/>
      <c r="F514" s="127" t="s">
        <v>765</v>
      </c>
      <c r="G514" s="129">
        <f>98+140+245+185+150+165+2481+161+0+3791+157+82+2</f>
        <v>7657</v>
      </c>
      <c r="H514" s="129">
        <v>2237</v>
      </c>
      <c r="I514" s="127"/>
      <c r="J514" s="129">
        <f t="shared" si="131"/>
        <v>2237</v>
      </c>
      <c r="K514" s="129"/>
      <c r="L514" s="129">
        <v>971</v>
      </c>
      <c r="M514" s="129"/>
      <c r="N514" s="129"/>
      <c r="O514" s="129">
        <f t="shared" si="132"/>
        <v>971</v>
      </c>
      <c r="P514" s="309"/>
      <c r="Q514" s="309"/>
      <c r="R514" s="309"/>
      <c r="S514" s="309"/>
    </row>
    <row r="515" spans="1:19" x14ac:dyDescent="0.25">
      <c r="A515" s="127"/>
      <c r="B515" s="127"/>
      <c r="C515" s="127"/>
      <c r="D515" s="127"/>
      <c r="E515" s="127"/>
      <c r="F515" s="127" t="s">
        <v>766</v>
      </c>
      <c r="G515" s="129">
        <f>2971+0+3784+0+5084+0+45+1879-1+823+6243+0+0</f>
        <v>20828</v>
      </c>
      <c r="H515" s="129">
        <v>7141</v>
      </c>
      <c r="I515" s="127"/>
      <c r="J515" s="129">
        <f t="shared" si="131"/>
        <v>7141</v>
      </c>
      <c r="K515" s="129"/>
      <c r="L515" s="129">
        <v>18366</v>
      </c>
      <c r="M515" s="129"/>
      <c r="N515" s="129"/>
      <c r="O515" s="129">
        <f t="shared" si="132"/>
        <v>18366</v>
      </c>
      <c r="P515" s="309"/>
      <c r="Q515" s="309"/>
      <c r="R515" s="309"/>
      <c r="S515" s="309"/>
    </row>
    <row r="516" spans="1:19" x14ac:dyDescent="0.25">
      <c r="A516" s="127"/>
      <c r="B516" s="127"/>
      <c r="C516" s="127"/>
      <c r="D516" s="127"/>
      <c r="E516" s="127"/>
      <c r="F516" s="127" t="s">
        <v>767</v>
      </c>
      <c r="G516" s="129">
        <v>0</v>
      </c>
      <c r="H516" s="129">
        <v>0</v>
      </c>
      <c r="I516" s="127"/>
      <c r="J516" s="129">
        <f t="shared" si="131"/>
        <v>0</v>
      </c>
      <c r="K516" s="129"/>
      <c r="L516" s="129">
        <v>0</v>
      </c>
      <c r="M516" s="129"/>
      <c r="N516" s="129"/>
      <c r="O516" s="129">
        <f t="shared" si="132"/>
        <v>0</v>
      </c>
      <c r="P516" s="309"/>
      <c r="Q516" s="309"/>
      <c r="R516" s="309"/>
      <c r="S516" s="309"/>
    </row>
    <row r="517" spans="1:19" x14ac:dyDescent="0.25">
      <c r="A517" s="127">
        <v>5</v>
      </c>
      <c r="B517" s="127">
        <v>1</v>
      </c>
      <c r="C517" s="127">
        <v>2</v>
      </c>
      <c r="D517" s="127">
        <v>2</v>
      </c>
      <c r="E517" s="127"/>
      <c r="F517" s="127" t="s">
        <v>464</v>
      </c>
      <c r="G517" s="129">
        <f t="shared" ref="G517" si="133">SUM(G518:G519)</f>
        <v>231916</v>
      </c>
      <c r="H517" s="129">
        <f t="shared" ref="H517:J517" si="134">SUM(H518:H519)</f>
        <v>34293</v>
      </c>
      <c r="I517" s="129">
        <f t="shared" si="134"/>
        <v>0</v>
      </c>
      <c r="J517" s="129">
        <f t="shared" si="134"/>
        <v>34293</v>
      </c>
      <c r="K517" s="129"/>
      <c r="L517" s="129">
        <f t="shared" ref="L517" si="135">SUM(L518:L519)</f>
        <v>75674</v>
      </c>
      <c r="M517" s="129"/>
      <c r="N517" s="129"/>
      <c r="O517" s="129">
        <f t="shared" ref="O517" si="136">SUM(O518:O519)</f>
        <v>75674</v>
      </c>
      <c r="P517" s="309"/>
      <c r="Q517" s="309"/>
      <c r="R517" s="309"/>
      <c r="S517" s="309"/>
    </row>
    <row r="518" spans="1:19" x14ac:dyDescent="0.25">
      <c r="A518" s="127"/>
      <c r="B518" s="127"/>
      <c r="C518" s="127"/>
      <c r="D518" s="127"/>
      <c r="E518" s="127"/>
      <c r="F518" s="127" t="s">
        <v>768</v>
      </c>
      <c r="G518" s="129">
        <f>4690+12805+14149+6871+33209+19407-1+39761+24656+19505+14703+7983+32319</f>
        <v>230057</v>
      </c>
      <c r="H518" s="129">
        <v>34293</v>
      </c>
      <c r="I518" s="127"/>
      <c r="J518" s="129">
        <f>H518</f>
        <v>34293</v>
      </c>
      <c r="K518" s="129"/>
      <c r="L518" s="129">
        <v>74811</v>
      </c>
      <c r="M518" s="129"/>
      <c r="N518" s="129"/>
      <c r="O518" s="129">
        <f t="shared" si="132"/>
        <v>74811</v>
      </c>
      <c r="P518" s="309"/>
      <c r="Q518" s="309"/>
      <c r="R518" s="309"/>
      <c r="S518" s="309"/>
    </row>
    <row r="519" spans="1:19" x14ac:dyDescent="0.25">
      <c r="A519" s="127"/>
      <c r="B519" s="127"/>
      <c r="C519" s="127"/>
      <c r="D519" s="127"/>
      <c r="E519" s="127"/>
      <c r="F519" s="127" t="s">
        <v>769</v>
      </c>
      <c r="G519" s="129">
        <f>73+0+0+790+0+84+912</f>
        <v>1859</v>
      </c>
      <c r="H519" s="129">
        <v>0</v>
      </c>
      <c r="I519" s="127"/>
      <c r="J519" s="129">
        <f>H519</f>
        <v>0</v>
      </c>
      <c r="K519" s="129"/>
      <c r="L519" s="129">
        <v>863</v>
      </c>
      <c r="M519" s="129"/>
      <c r="N519" s="129"/>
      <c r="O519" s="129">
        <f t="shared" si="132"/>
        <v>863</v>
      </c>
      <c r="P519" s="309"/>
      <c r="Q519" s="309"/>
      <c r="R519" s="309"/>
      <c r="S519" s="309"/>
    </row>
    <row r="520" spans="1:19" ht="24" x14ac:dyDescent="0.25">
      <c r="A520" s="127">
        <v>5</v>
      </c>
      <c r="B520" s="127">
        <v>1</v>
      </c>
      <c r="C520" s="127">
        <v>2</v>
      </c>
      <c r="D520" s="127">
        <v>3</v>
      </c>
      <c r="E520" s="127"/>
      <c r="F520" s="127" t="s">
        <v>465</v>
      </c>
      <c r="G520" s="129"/>
      <c r="H520" s="129"/>
      <c r="I520" s="127"/>
      <c r="J520" s="129">
        <f t="shared" ref="J520" si="137">+G520+H520-I520</f>
        <v>0</v>
      </c>
      <c r="K520" s="129"/>
      <c r="L520" s="127"/>
      <c r="M520" s="129"/>
      <c r="N520" s="129"/>
      <c r="O520" s="129">
        <f t="shared" si="132"/>
        <v>0</v>
      </c>
      <c r="P520" s="309"/>
      <c r="Q520" s="309"/>
      <c r="R520" s="309"/>
      <c r="S520" s="309"/>
    </row>
    <row r="521" spans="1:19" ht="24" x14ac:dyDescent="0.25">
      <c r="A521" s="127">
        <v>5</v>
      </c>
      <c r="B521" s="127">
        <v>1</v>
      </c>
      <c r="C521" s="127">
        <v>2</v>
      </c>
      <c r="D521" s="127">
        <v>4</v>
      </c>
      <c r="E521" s="127"/>
      <c r="F521" s="127" t="s">
        <v>466</v>
      </c>
      <c r="G521" s="129">
        <f t="shared" ref="G521" si="138">SUM(G522:G524)</f>
        <v>16640</v>
      </c>
      <c r="H521" s="129">
        <f t="shared" ref="H521:J521" si="139">SUM(H522:H524)</f>
        <v>6006</v>
      </c>
      <c r="I521" s="129">
        <f t="shared" si="139"/>
        <v>0</v>
      </c>
      <c r="J521" s="129">
        <f t="shared" si="139"/>
        <v>6006</v>
      </c>
      <c r="K521" s="129"/>
      <c r="L521" s="129">
        <f t="shared" ref="L521" si="140">SUM(L522:L524)</f>
        <v>7019</v>
      </c>
      <c r="M521" s="129"/>
      <c r="N521" s="129"/>
      <c r="O521" s="129">
        <f t="shared" ref="O521" si="141">SUM(O522:O524)</f>
        <v>7019</v>
      </c>
      <c r="P521" s="309"/>
      <c r="Q521" s="309"/>
      <c r="R521" s="309"/>
      <c r="S521" s="309"/>
    </row>
    <row r="522" spans="1:19" x14ac:dyDescent="0.25">
      <c r="A522" s="127"/>
      <c r="B522" s="127"/>
      <c r="C522" s="127"/>
      <c r="D522" s="127"/>
      <c r="E522" s="127"/>
      <c r="F522" s="127" t="s">
        <v>770</v>
      </c>
      <c r="G522" s="129">
        <f>1499+0+1253+157</f>
        <v>2909</v>
      </c>
      <c r="H522" s="129">
        <v>2078</v>
      </c>
      <c r="I522" s="127"/>
      <c r="J522" s="129">
        <f>H522</f>
        <v>2078</v>
      </c>
      <c r="K522" s="129"/>
      <c r="L522" s="129">
        <v>4488</v>
      </c>
      <c r="M522" s="129"/>
      <c r="N522" s="129"/>
      <c r="O522" s="129">
        <f t="shared" ref="O522:O540" si="142">+L522+M522-N522</f>
        <v>4488</v>
      </c>
      <c r="P522" s="309"/>
      <c r="Q522" s="309"/>
      <c r="R522" s="309"/>
      <c r="S522" s="309"/>
    </row>
    <row r="523" spans="1:19" x14ac:dyDescent="0.25">
      <c r="A523" s="127"/>
      <c r="B523" s="127"/>
      <c r="C523" s="127"/>
      <c r="D523" s="127"/>
      <c r="E523" s="127"/>
      <c r="F523" s="127" t="s">
        <v>771</v>
      </c>
      <c r="G523" s="129">
        <f>93+0+1483+3098+1823+1131+336+2159+1084</f>
        <v>11207</v>
      </c>
      <c r="H523" s="129">
        <v>3928</v>
      </c>
      <c r="I523" s="127"/>
      <c r="J523" s="129">
        <f t="shared" ref="J523:J524" si="143">H523</f>
        <v>3928</v>
      </c>
      <c r="K523" s="129"/>
      <c r="L523" s="129">
        <v>2531</v>
      </c>
      <c r="M523" s="129"/>
      <c r="N523" s="129"/>
      <c r="O523" s="129">
        <f t="shared" si="142"/>
        <v>2531</v>
      </c>
      <c r="P523" s="309"/>
      <c r="Q523" s="309"/>
      <c r="R523" s="309"/>
      <c r="S523" s="309"/>
    </row>
    <row r="524" spans="1:19" ht="24" x14ac:dyDescent="0.25">
      <c r="A524" s="127"/>
      <c r="B524" s="127"/>
      <c r="C524" s="127"/>
      <c r="D524" s="127"/>
      <c r="E524" s="127"/>
      <c r="F524" s="127" t="s">
        <v>772</v>
      </c>
      <c r="G524" s="129">
        <f>388+0+0+0+0+290+1+356+1489</f>
        <v>2524</v>
      </c>
      <c r="H524" s="129">
        <v>0</v>
      </c>
      <c r="I524" s="127"/>
      <c r="J524" s="129">
        <f t="shared" si="143"/>
        <v>0</v>
      </c>
      <c r="K524" s="129"/>
      <c r="L524" s="129">
        <v>0</v>
      </c>
      <c r="M524" s="129"/>
      <c r="N524" s="129"/>
      <c r="O524" s="129">
        <f t="shared" si="142"/>
        <v>0</v>
      </c>
      <c r="P524" s="309"/>
      <c r="Q524" s="309"/>
      <c r="R524" s="309"/>
      <c r="S524" s="309"/>
    </row>
    <row r="525" spans="1:19" x14ac:dyDescent="0.25">
      <c r="A525" s="127">
        <v>5</v>
      </c>
      <c r="B525" s="127">
        <v>1</v>
      </c>
      <c r="C525" s="127">
        <v>2</v>
      </c>
      <c r="D525" s="127">
        <v>5</v>
      </c>
      <c r="E525" s="127"/>
      <c r="F525" s="127" t="s">
        <v>467</v>
      </c>
      <c r="G525" s="129">
        <f t="shared" ref="G525" si="144">SUM(G526:G527)</f>
        <v>554</v>
      </c>
      <c r="H525" s="129">
        <f t="shared" ref="H525:J525" si="145">SUM(H526:H527)</f>
        <v>0</v>
      </c>
      <c r="I525" s="129">
        <f t="shared" si="145"/>
        <v>0</v>
      </c>
      <c r="J525" s="129">
        <f t="shared" si="145"/>
        <v>0</v>
      </c>
      <c r="K525" s="129"/>
      <c r="L525" s="129">
        <f t="shared" ref="L525" si="146">SUM(L526:L527)</f>
        <v>0</v>
      </c>
      <c r="M525" s="129"/>
      <c r="N525" s="129"/>
      <c r="O525" s="129">
        <f t="shared" ref="O525" si="147">SUM(O526:O527)</f>
        <v>0</v>
      </c>
      <c r="P525" s="309"/>
      <c r="Q525" s="309"/>
      <c r="R525" s="309"/>
      <c r="S525" s="309"/>
    </row>
    <row r="526" spans="1:19" x14ac:dyDescent="0.25">
      <c r="A526" s="127"/>
      <c r="B526" s="127"/>
      <c r="C526" s="127"/>
      <c r="D526" s="127"/>
      <c r="E526" s="127"/>
      <c r="F526" s="127" t="s">
        <v>773</v>
      </c>
      <c r="G526" s="129">
        <v>0</v>
      </c>
      <c r="H526" s="129">
        <v>0</v>
      </c>
      <c r="I526" s="127"/>
      <c r="J526" s="129">
        <f t="shared" ref="J526" si="148">+G526+H526-I526</f>
        <v>0</v>
      </c>
      <c r="K526" s="129"/>
      <c r="L526" s="129">
        <v>0</v>
      </c>
      <c r="M526" s="129"/>
      <c r="N526" s="129"/>
      <c r="O526" s="129">
        <f t="shared" si="142"/>
        <v>0</v>
      </c>
      <c r="P526" s="309"/>
      <c r="Q526" s="309"/>
      <c r="R526" s="309"/>
      <c r="S526" s="309"/>
    </row>
    <row r="527" spans="1:19" x14ac:dyDescent="0.25">
      <c r="A527" s="127"/>
      <c r="B527" s="127"/>
      <c r="C527" s="127"/>
      <c r="D527" s="127"/>
      <c r="E527" s="127"/>
      <c r="F527" s="127" t="s">
        <v>774</v>
      </c>
      <c r="G527" s="129">
        <v>554</v>
      </c>
      <c r="H527" s="129">
        <v>0</v>
      </c>
      <c r="I527" s="127"/>
      <c r="J527" s="129">
        <f t="shared" ref="J527" si="149">H527</f>
        <v>0</v>
      </c>
      <c r="K527" s="129"/>
      <c r="L527" s="129">
        <v>0</v>
      </c>
      <c r="M527" s="129"/>
      <c r="N527" s="129"/>
      <c r="O527" s="129">
        <f t="shared" si="142"/>
        <v>0</v>
      </c>
      <c r="P527" s="309"/>
      <c r="Q527" s="309"/>
      <c r="R527" s="309"/>
      <c r="S527" s="309"/>
    </row>
    <row r="528" spans="1:19" x14ac:dyDescent="0.25">
      <c r="A528" s="127">
        <v>5</v>
      </c>
      <c r="B528" s="127">
        <v>1</v>
      </c>
      <c r="C528" s="127">
        <v>2</v>
      </c>
      <c r="D528" s="127">
        <v>6</v>
      </c>
      <c r="E528" s="127"/>
      <c r="F528" s="127" t="s">
        <v>468</v>
      </c>
      <c r="G528" s="129">
        <f t="shared" ref="G528:L528" si="150">G529</f>
        <v>93661</v>
      </c>
      <c r="H528" s="129">
        <f t="shared" si="150"/>
        <v>18513</v>
      </c>
      <c r="I528" s="129">
        <f t="shared" si="150"/>
        <v>0</v>
      </c>
      <c r="J528" s="129">
        <f t="shared" si="150"/>
        <v>18513</v>
      </c>
      <c r="K528" s="129"/>
      <c r="L528" s="129">
        <f t="shared" si="150"/>
        <v>87340</v>
      </c>
      <c r="M528" s="129"/>
      <c r="N528" s="129"/>
      <c r="O528" s="129">
        <f t="shared" ref="O528" si="151">O529</f>
        <v>87340</v>
      </c>
      <c r="P528" s="309"/>
      <c r="Q528" s="309"/>
      <c r="R528" s="309"/>
      <c r="S528" s="309"/>
    </row>
    <row r="529" spans="1:19" x14ac:dyDescent="0.25">
      <c r="A529" s="127"/>
      <c r="B529" s="127"/>
      <c r="C529" s="127"/>
      <c r="D529" s="127"/>
      <c r="E529" s="127"/>
      <c r="F529" s="127" t="s">
        <v>468</v>
      </c>
      <c r="G529" s="129">
        <f>8846+5010+8209+9300+12050+4700-1+7350+9630+1+6792+7140+7248+7385+1</f>
        <v>93661</v>
      </c>
      <c r="H529" s="129">
        <v>18513</v>
      </c>
      <c r="I529" s="127"/>
      <c r="J529" s="129">
        <f>H529</f>
        <v>18513</v>
      </c>
      <c r="K529" s="129"/>
      <c r="L529" s="129">
        <v>87340</v>
      </c>
      <c r="M529" s="129"/>
      <c r="N529" s="129"/>
      <c r="O529" s="129">
        <f t="shared" si="142"/>
        <v>87340</v>
      </c>
      <c r="P529" s="309"/>
      <c r="Q529" s="309"/>
      <c r="R529" s="309"/>
      <c r="S529" s="309"/>
    </row>
    <row r="530" spans="1:19" ht="24" x14ac:dyDescent="0.25">
      <c r="A530" s="127">
        <v>5</v>
      </c>
      <c r="B530" s="127">
        <v>1</v>
      </c>
      <c r="C530" s="127">
        <v>2</v>
      </c>
      <c r="D530" s="127">
        <v>7</v>
      </c>
      <c r="E530" s="127"/>
      <c r="F530" s="127" t="s">
        <v>469</v>
      </c>
      <c r="G530" s="129">
        <f t="shared" ref="G530" si="152">SUM(G531:G533)</f>
        <v>4060</v>
      </c>
      <c r="H530" s="129">
        <f t="shared" ref="H530:J530" si="153">SUM(H531:H533)</f>
        <v>0</v>
      </c>
      <c r="I530" s="129">
        <f t="shared" si="153"/>
        <v>0</v>
      </c>
      <c r="J530" s="129">
        <f t="shared" si="153"/>
        <v>0</v>
      </c>
      <c r="K530" s="129"/>
      <c r="L530" s="129">
        <f t="shared" ref="L530" si="154">SUM(L531:L533)</f>
        <v>0</v>
      </c>
      <c r="M530" s="129"/>
      <c r="N530" s="129"/>
      <c r="O530" s="129">
        <f t="shared" ref="O530" si="155">SUM(O531:O533)</f>
        <v>0</v>
      </c>
      <c r="P530" s="309"/>
      <c r="Q530" s="309"/>
      <c r="R530" s="309"/>
      <c r="S530" s="309"/>
    </row>
    <row r="531" spans="1:19" x14ac:dyDescent="0.25">
      <c r="A531" s="127"/>
      <c r="B531" s="127"/>
      <c r="C531" s="127"/>
      <c r="D531" s="127"/>
      <c r="E531" s="127"/>
      <c r="F531" s="127" t="s">
        <v>775</v>
      </c>
      <c r="G531" s="129">
        <v>4060</v>
      </c>
      <c r="H531" s="129">
        <v>0</v>
      </c>
      <c r="I531" s="127"/>
      <c r="J531" s="129">
        <f t="shared" ref="J531:J540" si="156">H531</f>
        <v>0</v>
      </c>
      <c r="K531" s="129"/>
      <c r="L531" s="140">
        <v>0</v>
      </c>
      <c r="M531" s="129"/>
      <c r="N531" s="129"/>
      <c r="O531" s="129">
        <f t="shared" si="142"/>
        <v>0</v>
      </c>
      <c r="P531" s="309"/>
      <c r="Q531" s="309"/>
      <c r="R531" s="309"/>
      <c r="S531" s="309"/>
    </row>
    <row r="532" spans="1:19" x14ac:dyDescent="0.25">
      <c r="A532" s="127"/>
      <c r="B532" s="127"/>
      <c r="C532" s="127"/>
      <c r="D532" s="127"/>
      <c r="E532" s="127"/>
      <c r="F532" s="127" t="s">
        <v>776</v>
      </c>
      <c r="G532" s="129">
        <v>0</v>
      </c>
      <c r="H532" s="129">
        <v>0</v>
      </c>
      <c r="I532" s="127"/>
      <c r="J532" s="129">
        <f t="shared" si="156"/>
        <v>0</v>
      </c>
      <c r="K532" s="129"/>
      <c r="L532" s="140">
        <v>0</v>
      </c>
      <c r="M532" s="129"/>
      <c r="N532" s="129"/>
      <c r="O532" s="129">
        <f t="shared" si="142"/>
        <v>0</v>
      </c>
      <c r="P532" s="309"/>
      <c r="Q532" s="309"/>
      <c r="R532" s="309"/>
      <c r="S532" s="309"/>
    </row>
    <row r="533" spans="1:19" ht="24" x14ac:dyDescent="0.25">
      <c r="A533" s="127"/>
      <c r="B533" s="127"/>
      <c r="C533" s="127"/>
      <c r="D533" s="127"/>
      <c r="E533" s="127"/>
      <c r="F533" s="127" t="s">
        <v>777</v>
      </c>
      <c r="G533" s="129">
        <v>0</v>
      </c>
      <c r="H533" s="129">
        <v>0</v>
      </c>
      <c r="I533" s="127"/>
      <c r="J533" s="129">
        <f t="shared" si="156"/>
        <v>0</v>
      </c>
      <c r="K533" s="129"/>
      <c r="L533" s="140">
        <v>0</v>
      </c>
      <c r="M533" s="129"/>
      <c r="N533" s="129"/>
      <c r="O533" s="129">
        <f t="shared" si="142"/>
        <v>0</v>
      </c>
      <c r="P533" s="309"/>
      <c r="Q533" s="309"/>
      <c r="R533" s="309"/>
      <c r="S533" s="309"/>
    </row>
    <row r="534" spans="1:19" x14ac:dyDescent="0.25">
      <c r="A534" s="127">
        <v>5</v>
      </c>
      <c r="B534" s="127">
        <v>1</v>
      </c>
      <c r="C534" s="127">
        <v>2</v>
      </c>
      <c r="D534" s="127">
        <v>8</v>
      </c>
      <c r="E534" s="127"/>
      <c r="F534" s="127" t="s">
        <v>470</v>
      </c>
      <c r="G534" s="129">
        <f t="shared" ref="G534:L534" si="157">G535</f>
        <v>0</v>
      </c>
      <c r="H534" s="129">
        <f t="shared" si="157"/>
        <v>0</v>
      </c>
      <c r="I534" s="129">
        <f t="shared" si="157"/>
        <v>0</v>
      </c>
      <c r="J534" s="129">
        <f t="shared" si="157"/>
        <v>0</v>
      </c>
      <c r="K534" s="129"/>
      <c r="L534" s="129">
        <f t="shared" si="157"/>
        <v>0</v>
      </c>
      <c r="M534" s="129"/>
      <c r="N534" s="129"/>
      <c r="O534" s="129">
        <f t="shared" ref="O534" si="158">O535</f>
        <v>0</v>
      </c>
      <c r="P534" s="309"/>
      <c r="Q534" s="309"/>
      <c r="R534" s="309"/>
      <c r="S534" s="309"/>
    </row>
    <row r="535" spans="1:19" x14ac:dyDescent="0.25">
      <c r="A535" s="127"/>
      <c r="B535" s="127"/>
      <c r="C535" s="127"/>
      <c r="D535" s="127"/>
      <c r="E535" s="127"/>
      <c r="F535" s="127" t="s">
        <v>778</v>
      </c>
      <c r="G535" s="129">
        <v>0</v>
      </c>
      <c r="H535" s="129">
        <v>0</v>
      </c>
      <c r="I535" s="127"/>
      <c r="J535" s="129">
        <f t="shared" si="156"/>
        <v>0</v>
      </c>
      <c r="K535" s="129"/>
      <c r="L535" s="140"/>
      <c r="M535" s="129"/>
      <c r="N535" s="129"/>
      <c r="O535" s="129">
        <f t="shared" si="142"/>
        <v>0</v>
      </c>
      <c r="P535" s="309"/>
      <c r="Q535" s="309"/>
      <c r="R535" s="309"/>
      <c r="S535" s="309"/>
    </row>
    <row r="536" spans="1:19" x14ac:dyDescent="0.25">
      <c r="A536" s="127">
        <v>5</v>
      </c>
      <c r="B536" s="127">
        <v>1</v>
      </c>
      <c r="C536" s="127">
        <v>2</v>
      </c>
      <c r="D536" s="127">
        <v>9</v>
      </c>
      <c r="E536" s="127"/>
      <c r="F536" s="127" t="s">
        <v>471</v>
      </c>
      <c r="G536" s="129">
        <f t="shared" ref="G536" si="159">SUM(G537:G540)</f>
        <v>187</v>
      </c>
      <c r="H536" s="129">
        <f t="shared" ref="H536:J536" si="160">SUM(H537:H540)</f>
        <v>0</v>
      </c>
      <c r="I536" s="129">
        <f t="shared" si="160"/>
        <v>0</v>
      </c>
      <c r="J536" s="129">
        <f t="shared" si="160"/>
        <v>0</v>
      </c>
      <c r="K536" s="129"/>
      <c r="L536" s="129">
        <f t="shared" ref="L536" si="161">SUM(L537:L540)</f>
        <v>0</v>
      </c>
      <c r="M536" s="129"/>
      <c r="N536" s="129"/>
      <c r="O536" s="129">
        <f t="shared" ref="O536" si="162">SUM(O537:O540)</f>
        <v>0</v>
      </c>
      <c r="P536" s="309"/>
      <c r="Q536" s="309"/>
      <c r="R536" s="309"/>
      <c r="S536" s="309"/>
    </row>
    <row r="537" spans="1:19" x14ac:dyDescent="0.25">
      <c r="A537" s="127"/>
      <c r="B537" s="127"/>
      <c r="C537" s="127"/>
      <c r="D537" s="127"/>
      <c r="E537" s="127"/>
      <c r="F537" s="127" t="s">
        <v>779</v>
      </c>
      <c r="G537" s="129">
        <v>187</v>
      </c>
      <c r="H537" s="129">
        <v>0</v>
      </c>
      <c r="I537" s="127"/>
      <c r="J537" s="129">
        <f t="shared" si="156"/>
        <v>0</v>
      </c>
      <c r="K537" s="129"/>
      <c r="L537" s="140">
        <v>0</v>
      </c>
      <c r="M537" s="129"/>
      <c r="N537" s="129"/>
      <c r="O537" s="129">
        <f t="shared" si="142"/>
        <v>0</v>
      </c>
      <c r="P537" s="309"/>
      <c r="Q537" s="309"/>
      <c r="R537" s="309"/>
      <c r="S537" s="309"/>
    </row>
    <row r="538" spans="1:19" ht="24" x14ac:dyDescent="0.25">
      <c r="A538" s="127"/>
      <c r="B538" s="127"/>
      <c r="C538" s="127"/>
      <c r="D538" s="127"/>
      <c r="E538" s="127"/>
      <c r="F538" s="127" t="s">
        <v>780</v>
      </c>
      <c r="G538" s="129">
        <v>0</v>
      </c>
      <c r="H538" s="129">
        <v>0</v>
      </c>
      <c r="I538" s="127"/>
      <c r="J538" s="129">
        <f t="shared" si="156"/>
        <v>0</v>
      </c>
      <c r="K538" s="129"/>
      <c r="L538" s="140">
        <v>0</v>
      </c>
      <c r="M538" s="129"/>
      <c r="N538" s="129"/>
      <c r="O538" s="129">
        <f t="shared" si="142"/>
        <v>0</v>
      </c>
      <c r="P538" s="309"/>
      <c r="Q538" s="309"/>
      <c r="R538" s="309"/>
      <c r="S538" s="309"/>
    </row>
    <row r="539" spans="1:19" ht="24" x14ac:dyDescent="0.25">
      <c r="A539" s="127"/>
      <c r="B539" s="127"/>
      <c r="C539" s="127"/>
      <c r="D539" s="127"/>
      <c r="E539" s="127"/>
      <c r="F539" s="127" t="s">
        <v>781</v>
      </c>
      <c r="G539" s="129">
        <v>0</v>
      </c>
      <c r="H539" s="129">
        <v>0</v>
      </c>
      <c r="I539" s="127"/>
      <c r="J539" s="129">
        <f t="shared" si="156"/>
        <v>0</v>
      </c>
      <c r="K539" s="129"/>
      <c r="L539" s="140">
        <v>0</v>
      </c>
      <c r="M539" s="129"/>
      <c r="N539" s="129"/>
      <c r="O539" s="129">
        <f t="shared" si="142"/>
        <v>0</v>
      </c>
      <c r="P539" s="309"/>
      <c r="Q539" s="309"/>
      <c r="R539" s="309"/>
      <c r="S539" s="309"/>
    </row>
    <row r="540" spans="1:19" ht="24" x14ac:dyDescent="0.25">
      <c r="A540" s="127"/>
      <c r="B540" s="127"/>
      <c r="C540" s="127"/>
      <c r="D540" s="127"/>
      <c r="E540" s="127"/>
      <c r="F540" s="127" t="s">
        <v>782</v>
      </c>
      <c r="G540" s="129">
        <v>0</v>
      </c>
      <c r="H540" s="129">
        <v>0</v>
      </c>
      <c r="I540" s="127"/>
      <c r="J540" s="129">
        <f t="shared" si="156"/>
        <v>0</v>
      </c>
      <c r="K540" s="129"/>
      <c r="L540" s="140">
        <v>0</v>
      </c>
      <c r="M540" s="129"/>
      <c r="N540" s="129"/>
      <c r="O540" s="129">
        <f t="shared" si="142"/>
        <v>0</v>
      </c>
      <c r="P540" s="309"/>
      <c r="Q540" s="309"/>
      <c r="R540" s="309"/>
      <c r="S540" s="309"/>
    </row>
    <row r="541" spans="1:19" x14ac:dyDescent="0.25">
      <c r="A541" s="125">
        <v>5</v>
      </c>
      <c r="B541" s="125">
        <v>1</v>
      </c>
      <c r="C541" s="125">
        <v>3</v>
      </c>
      <c r="D541" s="125"/>
      <c r="E541" s="125"/>
      <c r="F541" s="149" t="s">
        <v>64</v>
      </c>
      <c r="G541" s="469">
        <f t="shared" ref="G541" si="163">+G542+G550+G552+G561+G566+G573+G575+G582+G588</f>
        <v>3948322</v>
      </c>
      <c r="H541" s="469">
        <f t="shared" ref="H541" si="164">+H542+H550+H552+H561+H566+H573+H575+H582+H588</f>
        <v>2305868</v>
      </c>
      <c r="I541" s="469">
        <f t="shared" ref="I541" si="165">+I542+I550+I552+I561+I566+I573+I575+I582+I588</f>
        <v>0</v>
      </c>
      <c r="J541" s="469">
        <f t="shared" ref="J541" si="166">+J542+J550+J552+J561+J566+J573+J575+J582+J588</f>
        <v>2305868</v>
      </c>
      <c r="K541" s="469"/>
      <c r="L541" s="469">
        <f t="shared" ref="L541" si="167">+L542+L550+L552+L561+L566+L573+L575+L582+L588</f>
        <v>14294826</v>
      </c>
      <c r="M541" s="469"/>
      <c r="N541" s="469"/>
      <c r="O541" s="469">
        <f t="shared" ref="O541" si="168">+O542+O550+O552+O561+O566+O573+O575+O582+O588</f>
        <v>14247883</v>
      </c>
      <c r="P541" s="309"/>
      <c r="Q541" s="309"/>
      <c r="R541" s="309"/>
      <c r="S541" s="309"/>
    </row>
    <row r="542" spans="1:19" x14ac:dyDescent="0.25">
      <c r="A542" s="127">
        <v>5</v>
      </c>
      <c r="B542" s="127">
        <v>1</v>
      </c>
      <c r="C542" s="127">
        <v>3</v>
      </c>
      <c r="D542" s="127">
        <v>1</v>
      </c>
      <c r="E542" s="127"/>
      <c r="F542" s="127" t="s">
        <v>472</v>
      </c>
      <c r="G542" s="145">
        <f t="shared" ref="G542" si="169">SUM(G543:G549)</f>
        <v>288536</v>
      </c>
      <c r="H542" s="145">
        <f t="shared" ref="H542:I542" si="170">SUM(H543:H549)</f>
        <v>123625</v>
      </c>
      <c r="I542" s="145">
        <f t="shared" si="170"/>
        <v>0</v>
      </c>
      <c r="J542" s="145">
        <f t="shared" ref="J542" si="171">SUM(J543:J549)</f>
        <v>123625</v>
      </c>
      <c r="K542" s="145"/>
      <c r="L542" s="145">
        <f t="shared" ref="L542" si="172">SUM(L543:L549)</f>
        <v>344945</v>
      </c>
      <c r="M542" s="145"/>
      <c r="N542" s="145"/>
      <c r="O542" s="145">
        <f t="shared" ref="O542" si="173">SUM(O543:O549)</f>
        <v>328795</v>
      </c>
      <c r="P542" s="309"/>
      <c r="Q542" s="309"/>
      <c r="R542" s="309"/>
      <c r="S542" s="309"/>
    </row>
    <row r="543" spans="1:19" x14ac:dyDescent="0.25">
      <c r="A543" s="127"/>
      <c r="B543" s="127"/>
      <c r="C543" s="127"/>
      <c r="D543" s="127"/>
      <c r="E543" s="127"/>
      <c r="F543" s="127" t="s">
        <v>783</v>
      </c>
      <c r="G543" s="129">
        <f>21377+21025+18389+17805+17300+21966</f>
        <v>117862</v>
      </c>
      <c r="H543" s="129">
        <v>38158</v>
      </c>
      <c r="I543" s="127"/>
      <c r="J543" s="129">
        <f t="shared" ref="J543:J593" si="174">H543</f>
        <v>38158</v>
      </c>
      <c r="K543" s="129"/>
      <c r="L543" s="140">
        <v>145326</v>
      </c>
      <c r="M543" s="129"/>
      <c r="N543" s="129"/>
      <c r="O543" s="129">
        <f t="shared" ref="O543:O593" si="175">+L543+M543-N543</f>
        <v>145326</v>
      </c>
      <c r="P543" s="309"/>
      <c r="Q543" s="309"/>
      <c r="R543" s="309"/>
      <c r="S543" s="309"/>
    </row>
    <row r="544" spans="1:19" x14ac:dyDescent="0.25">
      <c r="A544" s="127"/>
      <c r="B544" s="127"/>
      <c r="C544" s="127"/>
      <c r="D544" s="127"/>
      <c r="E544" s="127"/>
      <c r="F544" s="127" t="s">
        <v>784</v>
      </c>
      <c r="G544" s="129">
        <v>10296</v>
      </c>
      <c r="H544" s="129">
        <v>10296</v>
      </c>
      <c r="I544" s="127"/>
      <c r="J544" s="129">
        <f t="shared" si="174"/>
        <v>10296</v>
      </c>
      <c r="K544" s="129"/>
      <c r="L544" s="140">
        <v>10296</v>
      </c>
      <c r="M544" s="129"/>
      <c r="N544" s="129"/>
      <c r="O544" s="129">
        <f t="shared" si="175"/>
        <v>10296</v>
      </c>
      <c r="P544" s="309"/>
      <c r="Q544" s="309"/>
      <c r="R544" s="309"/>
      <c r="S544" s="309"/>
    </row>
    <row r="545" spans="1:19" x14ac:dyDescent="0.25">
      <c r="A545" s="127"/>
      <c r="B545" s="127"/>
      <c r="C545" s="127"/>
      <c r="D545" s="127"/>
      <c r="E545" s="127"/>
      <c r="F545" s="127" t="s">
        <v>785</v>
      </c>
      <c r="G545" s="129">
        <f>10585+10222+9923+9836+9673+9643+9673+9673+9674+9372+8701+8367</f>
        <v>115342</v>
      </c>
      <c r="H545" s="129">
        <v>65980</v>
      </c>
      <c r="I545" s="127"/>
      <c r="J545" s="129">
        <f t="shared" si="174"/>
        <v>65980</v>
      </c>
      <c r="K545" s="129"/>
      <c r="L545" s="140">
        <v>139456</v>
      </c>
      <c r="M545" s="129"/>
      <c r="N545" s="129"/>
      <c r="O545" s="129">
        <f t="shared" si="175"/>
        <v>139456</v>
      </c>
      <c r="P545" s="309"/>
      <c r="Q545" s="309"/>
      <c r="R545" s="309"/>
      <c r="S545" s="309"/>
    </row>
    <row r="546" spans="1:19" x14ac:dyDescent="0.25">
      <c r="A546" s="127"/>
      <c r="B546" s="127"/>
      <c r="C546" s="127"/>
      <c r="D546" s="127"/>
      <c r="E546" s="127"/>
      <c r="F546" s="127" t="s">
        <v>786</v>
      </c>
      <c r="G546" s="129">
        <f>2922+1686+1390+4224+2414+1808+2413+1273+1275+1364+1929+2366</f>
        <v>25064</v>
      </c>
      <c r="H546" s="129">
        <v>4493</v>
      </c>
      <c r="I546" s="127"/>
      <c r="J546" s="129">
        <f t="shared" si="174"/>
        <v>4493</v>
      </c>
      <c r="K546" s="129"/>
      <c r="L546" s="140">
        <v>29428</v>
      </c>
      <c r="M546" s="129"/>
      <c r="N546" s="129"/>
      <c r="O546" s="129">
        <f t="shared" si="175"/>
        <v>29428</v>
      </c>
      <c r="P546" s="309"/>
      <c r="Q546" s="309"/>
      <c r="R546" s="309"/>
      <c r="S546" s="309"/>
    </row>
    <row r="547" spans="1:19" x14ac:dyDescent="0.25">
      <c r="A547" s="127"/>
      <c r="B547" s="127"/>
      <c r="C547" s="127"/>
      <c r="D547" s="127"/>
      <c r="E547" s="127"/>
      <c r="F547" s="127" t="s">
        <v>835</v>
      </c>
      <c r="G547" s="129">
        <f>6795+2114+2198</f>
        <v>11107</v>
      </c>
      <c r="H547" s="129">
        <v>1392</v>
      </c>
      <c r="I547" s="127"/>
      <c r="J547" s="129">
        <f t="shared" si="174"/>
        <v>1392</v>
      </c>
      <c r="K547" s="129"/>
      <c r="L547" s="140">
        <v>16150</v>
      </c>
      <c r="M547" s="129"/>
      <c r="N547" s="129"/>
      <c r="O547" s="129"/>
      <c r="P547" s="309"/>
      <c r="Q547" s="309"/>
      <c r="R547" s="309"/>
      <c r="S547" s="309"/>
    </row>
    <row r="548" spans="1:19" x14ac:dyDescent="0.25">
      <c r="A548" s="127"/>
      <c r="B548" s="127"/>
      <c r="C548" s="127"/>
      <c r="D548" s="127"/>
      <c r="E548" s="127"/>
      <c r="F548" s="127" t="s">
        <v>787</v>
      </c>
      <c r="G548" s="129">
        <f>812+992+0+612+195-1+195+417+1+2182+1214+1739+507</f>
        <v>8865</v>
      </c>
      <c r="H548" s="129">
        <v>3306</v>
      </c>
      <c r="I548" s="127"/>
      <c r="J548" s="129">
        <f t="shared" si="174"/>
        <v>3306</v>
      </c>
      <c r="K548" s="129"/>
      <c r="L548" s="140">
        <v>4289</v>
      </c>
      <c r="M548" s="129"/>
      <c r="N548" s="129"/>
      <c r="O548" s="129">
        <f t="shared" si="175"/>
        <v>4289</v>
      </c>
      <c r="P548" s="309"/>
      <c r="Q548" s="309"/>
      <c r="R548" s="309"/>
      <c r="S548" s="309"/>
    </row>
    <row r="549" spans="1:19" x14ac:dyDescent="0.25">
      <c r="A549" s="127"/>
      <c r="B549" s="127"/>
      <c r="C549" s="127"/>
      <c r="D549" s="127"/>
      <c r="E549" s="127"/>
      <c r="F549" s="127" t="s">
        <v>788</v>
      </c>
      <c r="G549" s="129"/>
      <c r="H549" s="129"/>
      <c r="I549" s="127"/>
      <c r="J549" s="129">
        <f t="shared" si="174"/>
        <v>0</v>
      </c>
      <c r="K549" s="129"/>
      <c r="L549" s="140">
        <v>0</v>
      </c>
      <c r="M549" s="129"/>
      <c r="N549" s="129"/>
      <c r="O549" s="129">
        <f t="shared" si="175"/>
        <v>0</v>
      </c>
      <c r="P549" s="309"/>
      <c r="Q549" s="309"/>
      <c r="R549" s="309"/>
      <c r="S549" s="309"/>
    </row>
    <row r="550" spans="1:19" x14ac:dyDescent="0.25">
      <c r="A550" s="127">
        <v>5</v>
      </c>
      <c r="B550" s="127">
        <v>1</v>
      </c>
      <c r="C550" s="127">
        <v>3</v>
      </c>
      <c r="D550" s="127">
        <v>2</v>
      </c>
      <c r="E550" s="127"/>
      <c r="F550" s="127" t="s">
        <v>473</v>
      </c>
      <c r="G550" s="145">
        <f t="shared" ref="G550:L550" si="176">SUM(G551)</f>
        <v>6000</v>
      </c>
      <c r="H550" s="145">
        <f t="shared" si="176"/>
        <v>0</v>
      </c>
      <c r="I550" s="145">
        <f t="shared" si="176"/>
        <v>0</v>
      </c>
      <c r="J550" s="145">
        <f t="shared" si="176"/>
        <v>0</v>
      </c>
      <c r="K550" s="145"/>
      <c r="L550" s="145">
        <f t="shared" si="176"/>
        <v>33000</v>
      </c>
      <c r="M550" s="145"/>
      <c r="N550" s="145"/>
      <c r="O550" s="145">
        <f t="shared" ref="O550" si="177">SUM(O551)</f>
        <v>33000</v>
      </c>
      <c r="P550" s="309"/>
      <c r="Q550" s="309"/>
      <c r="R550" s="309"/>
      <c r="S550" s="309"/>
    </row>
    <row r="551" spans="1:19" x14ac:dyDescent="0.25">
      <c r="A551" s="127"/>
      <c r="B551" s="127"/>
      <c r="C551" s="127"/>
      <c r="D551" s="127"/>
      <c r="E551" s="127"/>
      <c r="F551" s="127" t="s">
        <v>789</v>
      </c>
      <c r="G551" s="129">
        <f>1500+1500+1500+1500</f>
        <v>6000</v>
      </c>
      <c r="H551" s="129">
        <v>0</v>
      </c>
      <c r="I551" s="127"/>
      <c r="J551" s="129">
        <f t="shared" si="174"/>
        <v>0</v>
      </c>
      <c r="K551" s="129"/>
      <c r="L551" s="140">
        <v>33000</v>
      </c>
      <c r="M551" s="129"/>
      <c r="N551" s="129"/>
      <c r="O551" s="129">
        <f t="shared" si="175"/>
        <v>33000</v>
      </c>
      <c r="P551" s="309"/>
      <c r="Q551" s="309"/>
      <c r="R551" s="309"/>
      <c r="S551" s="309"/>
    </row>
    <row r="552" spans="1:19" ht="24" x14ac:dyDescent="0.25">
      <c r="A552" s="127">
        <v>5</v>
      </c>
      <c r="B552" s="127">
        <v>1</v>
      </c>
      <c r="C552" s="127">
        <v>3</v>
      </c>
      <c r="D552" s="127">
        <v>3</v>
      </c>
      <c r="E552" s="127"/>
      <c r="F552" s="127" t="s">
        <v>474</v>
      </c>
      <c r="G552" s="145">
        <f t="shared" ref="G552" si="178">SUM(G553:G560)</f>
        <v>2681747</v>
      </c>
      <c r="H552" s="145">
        <f t="shared" ref="H552:I552" si="179">SUM(H553:H560)</f>
        <v>222933</v>
      </c>
      <c r="I552" s="145">
        <f t="shared" si="179"/>
        <v>0</v>
      </c>
      <c r="J552" s="145">
        <f t="shared" ref="J552" si="180">SUM(J553:J560)</f>
        <v>222933</v>
      </c>
      <c r="K552" s="145"/>
      <c r="L552" s="145">
        <f t="shared" ref="L552" si="181">SUM(L553:L560)</f>
        <v>13342881</v>
      </c>
      <c r="M552" s="145"/>
      <c r="N552" s="145"/>
      <c r="O552" s="145">
        <f t="shared" ref="O552" si="182">SUM(O553:O560)</f>
        <v>13342881</v>
      </c>
      <c r="P552" s="309"/>
      <c r="Q552" s="309"/>
      <c r="R552" s="309"/>
      <c r="S552" s="309"/>
    </row>
    <row r="553" spans="1:19" ht="24" x14ac:dyDescent="0.25">
      <c r="A553" s="127"/>
      <c r="B553" s="127"/>
      <c r="C553" s="127"/>
      <c r="D553" s="127"/>
      <c r="E553" s="127"/>
      <c r="F553" s="127" t="s">
        <v>790</v>
      </c>
      <c r="G553" s="129">
        <v>139200</v>
      </c>
      <c r="H553" s="129">
        <v>45000</v>
      </c>
      <c r="I553" s="127"/>
      <c r="J553" s="129">
        <f t="shared" si="174"/>
        <v>45000</v>
      </c>
      <c r="K553" s="129"/>
      <c r="L553" s="140">
        <v>139200</v>
      </c>
      <c r="M553" s="129"/>
      <c r="N553" s="129"/>
      <c r="O553" s="129">
        <f t="shared" si="175"/>
        <v>139200</v>
      </c>
      <c r="P553" s="309"/>
      <c r="Q553" s="309"/>
      <c r="R553" s="309"/>
      <c r="S553" s="309"/>
    </row>
    <row r="554" spans="1:19" x14ac:dyDescent="0.25">
      <c r="A554" s="127"/>
      <c r="B554" s="127"/>
      <c r="C554" s="127"/>
      <c r="D554" s="127"/>
      <c r="E554" s="127"/>
      <c r="F554" s="127" t="s">
        <v>836</v>
      </c>
      <c r="G554" s="129">
        <f>6+185600</f>
        <v>185606</v>
      </c>
      <c r="H554" s="129">
        <v>0</v>
      </c>
      <c r="I554" s="127"/>
      <c r="J554" s="129">
        <f t="shared" si="174"/>
        <v>0</v>
      </c>
      <c r="K554" s="129"/>
      <c r="L554" s="140">
        <v>11858973</v>
      </c>
      <c r="M554" s="129"/>
      <c r="N554" s="129"/>
      <c r="O554" s="129">
        <f t="shared" si="175"/>
        <v>11858973</v>
      </c>
      <c r="P554" s="309"/>
      <c r="Q554" s="309"/>
      <c r="R554" s="309"/>
      <c r="S554" s="309"/>
    </row>
    <row r="555" spans="1:19" ht="24" x14ac:dyDescent="0.25">
      <c r="A555" s="127"/>
      <c r="B555" s="127"/>
      <c r="C555" s="127"/>
      <c r="D555" s="127"/>
      <c r="E555" s="127"/>
      <c r="F555" s="127" t="s">
        <v>791</v>
      </c>
      <c r="G555" s="129">
        <f>15000+15000+15000+0+30000+0+30000+15000+26500+30000</f>
        <v>176500</v>
      </c>
      <c r="H555" s="129">
        <v>0</v>
      </c>
      <c r="I555" s="127"/>
      <c r="J555" s="129">
        <f t="shared" si="174"/>
        <v>0</v>
      </c>
      <c r="K555" s="129"/>
      <c r="L555" s="140">
        <v>203411</v>
      </c>
      <c r="M555" s="129"/>
      <c r="N555" s="129"/>
      <c r="O555" s="129">
        <f t="shared" si="175"/>
        <v>203411</v>
      </c>
      <c r="P555" s="309"/>
      <c r="Q555" s="309"/>
      <c r="R555" s="309"/>
      <c r="S555" s="309"/>
    </row>
    <row r="556" spans="1:19" x14ac:dyDescent="0.25">
      <c r="A556" s="127"/>
      <c r="B556" s="127"/>
      <c r="C556" s="127"/>
      <c r="D556" s="127"/>
      <c r="E556" s="127"/>
      <c r="F556" s="127" t="s">
        <v>792</v>
      </c>
      <c r="G556" s="129">
        <f>10500+29000</f>
        <v>39500</v>
      </c>
      <c r="H556" s="129">
        <v>5800</v>
      </c>
      <c r="I556" s="127"/>
      <c r="J556" s="129">
        <f t="shared" si="174"/>
        <v>5800</v>
      </c>
      <c r="K556" s="129"/>
      <c r="L556" s="140">
        <v>15290</v>
      </c>
      <c r="M556" s="129"/>
      <c r="N556" s="129"/>
      <c r="O556" s="129">
        <f t="shared" si="175"/>
        <v>15290</v>
      </c>
      <c r="P556" s="309"/>
      <c r="Q556" s="309"/>
      <c r="R556" s="309"/>
      <c r="S556" s="309"/>
    </row>
    <row r="557" spans="1:19" x14ac:dyDescent="0.25">
      <c r="A557" s="127"/>
      <c r="B557" s="127"/>
      <c r="C557" s="127"/>
      <c r="D557" s="127"/>
      <c r="E557" s="127"/>
      <c r="F557" s="127" t="s">
        <v>821</v>
      </c>
      <c r="G557" s="129">
        <f>11500+46000+0+2753+8757+0+3893+10634+6065</f>
        <v>89602</v>
      </c>
      <c r="H557" s="129">
        <v>10528</v>
      </c>
      <c r="I557" s="127"/>
      <c r="J557" s="129">
        <f t="shared" si="174"/>
        <v>10528</v>
      </c>
      <c r="K557" s="129"/>
      <c r="L557" s="140">
        <v>189767</v>
      </c>
      <c r="M557" s="129"/>
      <c r="N557" s="129"/>
      <c r="O557" s="129">
        <f t="shared" si="175"/>
        <v>189767</v>
      </c>
      <c r="P557" s="309"/>
      <c r="Q557" s="309"/>
      <c r="R557" s="309"/>
      <c r="S557" s="309"/>
    </row>
    <row r="558" spans="1:19" ht="24" x14ac:dyDescent="0.25">
      <c r="A558" s="127"/>
      <c r="B558" s="127"/>
      <c r="C558" s="127"/>
      <c r="D558" s="127"/>
      <c r="E558" s="127"/>
      <c r="F558" s="127" t="s">
        <v>793</v>
      </c>
      <c r="G558" s="129">
        <f>174118+98031+83518+89092+84847+83590+92647+70539+67539+33530-1+157941+23000</f>
        <v>1058391</v>
      </c>
      <c r="H558" s="129">
        <v>37360</v>
      </c>
      <c r="I558" s="127"/>
      <c r="J558" s="129">
        <f t="shared" si="174"/>
        <v>37360</v>
      </c>
      <c r="K558" s="129"/>
      <c r="L558" s="140">
        <v>381056</v>
      </c>
      <c r="M558" s="129"/>
      <c r="N558" s="129"/>
      <c r="O558" s="129">
        <f t="shared" si="175"/>
        <v>381056</v>
      </c>
      <c r="P558" s="309"/>
      <c r="Q558" s="309"/>
      <c r="R558" s="309"/>
      <c r="S558" s="309"/>
    </row>
    <row r="559" spans="1:19" x14ac:dyDescent="0.25">
      <c r="A559" s="127"/>
      <c r="B559" s="127"/>
      <c r="C559" s="127"/>
      <c r="D559" s="127"/>
      <c r="E559" s="127"/>
      <c r="F559" s="127" t="s">
        <v>794</v>
      </c>
      <c r="G559" s="129">
        <f>36157+39201+37679+37679+37679+37679+37679+37679+37679+37679+37679+37679</f>
        <v>452148</v>
      </c>
      <c r="H559" s="129">
        <v>124245</v>
      </c>
      <c r="I559" s="127"/>
      <c r="J559" s="129">
        <f t="shared" si="174"/>
        <v>124245</v>
      </c>
      <c r="K559" s="129"/>
      <c r="L559" s="140">
        <v>406026</v>
      </c>
      <c r="M559" s="129"/>
      <c r="N559" s="129"/>
      <c r="O559" s="129">
        <f t="shared" si="175"/>
        <v>406026</v>
      </c>
      <c r="P559" s="309"/>
      <c r="Q559" s="309"/>
      <c r="R559" s="309"/>
      <c r="S559" s="309"/>
    </row>
    <row r="560" spans="1:19" ht="24" x14ac:dyDescent="0.25">
      <c r="A560" s="127"/>
      <c r="B560" s="127"/>
      <c r="C560" s="127"/>
      <c r="D560" s="127"/>
      <c r="E560" s="127"/>
      <c r="F560" s="127" t="s">
        <v>795</v>
      </c>
      <c r="G560" s="129">
        <f>107800+159700+248300+0+25000</f>
        <v>540800</v>
      </c>
      <c r="H560" s="129">
        <v>0</v>
      </c>
      <c r="I560" s="127"/>
      <c r="J560" s="129">
        <f t="shared" si="174"/>
        <v>0</v>
      </c>
      <c r="K560" s="129"/>
      <c r="L560" s="140">
        <v>149158</v>
      </c>
      <c r="M560" s="129"/>
      <c r="N560" s="129"/>
      <c r="O560" s="129">
        <f t="shared" si="175"/>
        <v>149158</v>
      </c>
      <c r="P560" s="309"/>
      <c r="Q560" s="309"/>
      <c r="R560" s="309"/>
      <c r="S560" s="309"/>
    </row>
    <row r="561" spans="1:19" x14ac:dyDescent="0.25">
      <c r="A561" s="127">
        <v>5</v>
      </c>
      <c r="B561" s="127">
        <v>1</v>
      </c>
      <c r="C561" s="127">
        <v>3</v>
      </c>
      <c r="D561" s="127">
        <v>4</v>
      </c>
      <c r="E561" s="127"/>
      <c r="F561" s="127" t="s">
        <v>475</v>
      </c>
      <c r="G561" s="145">
        <f t="shared" ref="G561" si="183">SUM(G562:G565)</f>
        <v>6979</v>
      </c>
      <c r="H561" s="145">
        <f t="shared" ref="H561:I561" si="184">SUM(H562:H565)</f>
        <v>10586</v>
      </c>
      <c r="I561" s="145">
        <f t="shared" si="184"/>
        <v>0</v>
      </c>
      <c r="J561" s="145">
        <f t="shared" ref="J561" si="185">SUM(J562:J565)</f>
        <v>10586</v>
      </c>
      <c r="K561" s="145"/>
      <c r="L561" s="145">
        <f t="shared" ref="L561" si="186">SUM(L562:L565)</f>
        <v>27911</v>
      </c>
      <c r="M561" s="145"/>
      <c r="N561" s="145"/>
      <c r="O561" s="145">
        <f t="shared" ref="O561" si="187">SUM(O562:O565)</f>
        <v>27911</v>
      </c>
      <c r="P561" s="309"/>
      <c r="Q561" s="309"/>
      <c r="R561" s="309"/>
      <c r="S561" s="309"/>
    </row>
    <row r="562" spans="1:19" x14ac:dyDescent="0.25">
      <c r="A562" s="127"/>
      <c r="B562" s="127"/>
      <c r="C562" s="127"/>
      <c r="D562" s="127"/>
      <c r="E562" s="127"/>
      <c r="F562" s="127" t="s">
        <v>796</v>
      </c>
      <c r="G562" s="129">
        <f>938+372+348+348+1044+348+1044+696+80+0</f>
        <v>5218</v>
      </c>
      <c r="H562" s="129">
        <v>0</v>
      </c>
      <c r="I562" s="127"/>
      <c r="J562" s="129">
        <f t="shared" si="174"/>
        <v>0</v>
      </c>
      <c r="K562" s="129"/>
      <c r="L562" s="140">
        <v>4176</v>
      </c>
      <c r="M562" s="129"/>
      <c r="N562" s="129"/>
      <c r="O562" s="129">
        <f t="shared" si="175"/>
        <v>4176</v>
      </c>
      <c r="P562" s="309"/>
      <c r="Q562" s="309"/>
      <c r="R562" s="309"/>
      <c r="S562" s="309"/>
    </row>
    <row r="563" spans="1:19" x14ac:dyDescent="0.25">
      <c r="A563" s="127"/>
      <c r="B563" s="127"/>
      <c r="C563" s="127"/>
      <c r="D563" s="127"/>
      <c r="E563" s="127"/>
      <c r="F563" s="127" t="s">
        <v>797</v>
      </c>
      <c r="G563" s="129"/>
      <c r="H563" s="129"/>
      <c r="I563" s="127"/>
      <c r="J563" s="129">
        <f t="shared" si="174"/>
        <v>0</v>
      </c>
      <c r="K563" s="129"/>
      <c r="L563" s="140">
        <v>7809</v>
      </c>
      <c r="M563" s="129"/>
      <c r="N563" s="129"/>
      <c r="O563" s="129">
        <f t="shared" si="175"/>
        <v>7809</v>
      </c>
      <c r="P563" s="309"/>
      <c r="Q563" s="309"/>
      <c r="R563" s="309"/>
      <c r="S563" s="309"/>
    </row>
    <row r="564" spans="1:19" x14ac:dyDescent="0.25">
      <c r="A564" s="127"/>
      <c r="B564" s="127"/>
      <c r="C564" s="127"/>
      <c r="D564" s="127"/>
      <c r="E564" s="127"/>
      <c r="F564" s="127" t="s">
        <v>798</v>
      </c>
      <c r="G564" s="129"/>
      <c r="H564" s="129"/>
      <c r="I564" s="127"/>
      <c r="J564" s="129">
        <f t="shared" si="174"/>
        <v>0</v>
      </c>
      <c r="K564" s="129"/>
      <c r="L564" s="140">
        <v>13152</v>
      </c>
      <c r="M564" s="129"/>
      <c r="N564" s="129"/>
      <c r="O564" s="129">
        <f t="shared" si="175"/>
        <v>13152</v>
      </c>
      <c r="P564" s="309"/>
      <c r="Q564" s="309"/>
      <c r="R564" s="309"/>
      <c r="S564" s="309"/>
    </row>
    <row r="565" spans="1:19" ht="24" x14ac:dyDescent="0.25">
      <c r="A565" s="127"/>
      <c r="B565" s="127"/>
      <c r="C565" s="127"/>
      <c r="D565" s="127"/>
      <c r="E565" s="127"/>
      <c r="F565" s="127" t="s">
        <v>799</v>
      </c>
      <c r="G565" s="129">
        <f>1228+0+55+479-1</f>
        <v>1761</v>
      </c>
      <c r="H565" s="129">
        <v>10586</v>
      </c>
      <c r="I565" s="127"/>
      <c r="J565" s="129">
        <f t="shared" si="174"/>
        <v>10586</v>
      </c>
      <c r="K565" s="129"/>
      <c r="L565" s="140">
        <v>2774</v>
      </c>
      <c r="M565" s="129"/>
      <c r="N565" s="129"/>
      <c r="O565" s="129">
        <f t="shared" si="175"/>
        <v>2774</v>
      </c>
      <c r="P565" s="309"/>
      <c r="Q565" s="309"/>
      <c r="R565" s="309"/>
      <c r="S565" s="309"/>
    </row>
    <row r="566" spans="1:19" ht="24" x14ac:dyDescent="0.25">
      <c r="A566" s="127">
        <v>5</v>
      </c>
      <c r="B566" s="127">
        <v>1</v>
      </c>
      <c r="C566" s="127">
        <v>3</v>
      </c>
      <c r="D566" s="127">
        <v>5</v>
      </c>
      <c r="E566" s="127"/>
      <c r="F566" s="127" t="s">
        <v>476</v>
      </c>
      <c r="G566" s="145">
        <f t="shared" ref="G566" si="188">SUM(G567:G572)</f>
        <v>100607</v>
      </c>
      <c r="H566" s="145">
        <f t="shared" ref="H566:I566" si="189">SUM(H567:H572)</f>
        <v>50248</v>
      </c>
      <c r="I566" s="145">
        <f t="shared" si="189"/>
        <v>0</v>
      </c>
      <c r="J566" s="145">
        <f t="shared" ref="J566" si="190">SUM(J567:J572)</f>
        <v>50248</v>
      </c>
      <c r="K566" s="145"/>
      <c r="L566" s="145">
        <f t="shared" ref="L566" si="191">SUM(L567:L572)</f>
        <v>47150</v>
      </c>
      <c r="M566" s="145"/>
      <c r="N566" s="145"/>
      <c r="O566" s="145">
        <f t="shared" ref="O566" si="192">SUM(O567:O572)</f>
        <v>16357</v>
      </c>
      <c r="P566" s="309"/>
      <c r="Q566" s="309"/>
      <c r="R566" s="309"/>
      <c r="S566" s="309"/>
    </row>
    <row r="567" spans="1:19" x14ac:dyDescent="0.25">
      <c r="A567" s="127"/>
      <c r="B567" s="127"/>
      <c r="C567" s="127"/>
      <c r="D567" s="127"/>
      <c r="E567" s="127"/>
      <c r="F567" s="127" t="s">
        <v>800</v>
      </c>
      <c r="G567" s="129">
        <f>1935+0+23169+0+0+0</f>
        <v>25104</v>
      </c>
      <c r="H567" s="129">
        <v>12533</v>
      </c>
      <c r="I567" s="127"/>
      <c r="J567" s="129">
        <f t="shared" si="174"/>
        <v>12533</v>
      </c>
      <c r="K567" s="129"/>
      <c r="L567" s="140">
        <v>8376</v>
      </c>
      <c r="M567" s="129"/>
      <c r="N567" s="129"/>
      <c r="O567" s="129">
        <f t="shared" si="175"/>
        <v>8376</v>
      </c>
      <c r="P567" s="309"/>
      <c r="Q567" s="309"/>
      <c r="R567" s="309"/>
      <c r="S567" s="309"/>
    </row>
    <row r="568" spans="1:19" ht="36" x14ac:dyDescent="0.25">
      <c r="A568" s="127"/>
      <c r="B568" s="127"/>
      <c r="C568" s="127"/>
      <c r="D568" s="127"/>
      <c r="E568" s="127"/>
      <c r="F568" s="127" t="s">
        <v>802</v>
      </c>
      <c r="G568" s="129">
        <f>7424+522+928+1334+12714+2165-1</f>
        <v>25086</v>
      </c>
      <c r="H568" s="129">
        <v>0</v>
      </c>
      <c r="I568" s="127"/>
      <c r="J568" s="129">
        <f t="shared" si="174"/>
        <v>0</v>
      </c>
      <c r="K568" s="129"/>
      <c r="L568" s="140">
        <v>7981</v>
      </c>
      <c r="M568" s="129"/>
      <c r="N568" s="129"/>
      <c r="O568" s="129">
        <f t="shared" si="175"/>
        <v>7981</v>
      </c>
      <c r="P568" s="309"/>
      <c r="Q568" s="309"/>
      <c r="R568" s="309"/>
      <c r="S568" s="309"/>
    </row>
    <row r="569" spans="1:19" ht="24" x14ac:dyDescent="0.25">
      <c r="A569" s="127"/>
      <c r="B569" s="127"/>
      <c r="C569" s="127"/>
      <c r="D569" s="127"/>
      <c r="E569" s="127"/>
      <c r="F569" s="127" t="s">
        <v>801</v>
      </c>
      <c r="G569" s="129">
        <f>19212</f>
        <v>19212</v>
      </c>
      <c r="H569" s="129">
        <v>1740</v>
      </c>
      <c r="I569" s="127"/>
      <c r="J569" s="129">
        <f t="shared" si="174"/>
        <v>1740</v>
      </c>
      <c r="K569" s="129"/>
      <c r="L569" s="140">
        <v>0</v>
      </c>
      <c r="M569" s="129"/>
      <c r="N569" s="129"/>
      <c r="O569" s="129">
        <f t="shared" si="175"/>
        <v>0</v>
      </c>
      <c r="P569" s="309"/>
      <c r="Q569" s="309"/>
      <c r="R569" s="309"/>
      <c r="S569" s="309"/>
    </row>
    <row r="570" spans="1:19" x14ac:dyDescent="0.25">
      <c r="A570" s="127"/>
      <c r="B570" s="127"/>
      <c r="C570" s="127"/>
      <c r="D570" s="127"/>
      <c r="E570" s="127"/>
      <c r="F570" s="127" t="s">
        <v>803</v>
      </c>
      <c r="G570" s="129">
        <f>8503+0+0+0+7477+607+0+5800+5962</f>
        <v>28349</v>
      </c>
      <c r="H570" s="129">
        <v>35975</v>
      </c>
      <c r="I570" s="127"/>
      <c r="J570" s="129">
        <f t="shared" si="174"/>
        <v>35975</v>
      </c>
      <c r="K570" s="129"/>
      <c r="L570" s="140">
        <v>30793</v>
      </c>
      <c r="M570" s="129"/>
      <c r="N570" s="129"/>
      <c r="O570" s="129"/>
      <c r="P570" s="309"/>
      <c r="Q570" s="309"/>
      <c r="R570" s="309"/>
      <c r="S570" s="309"/>
    </row>
    <row r="571" spans="1:19" ht="24" x14ac:dyDescent="0.25">
      <c r="A571" s="127"/>
      <c r="B571" s="127"/>
      <c r="C571" s="127"/>
      <c r="D571" s="127"/>
      <c r="E571" s="127"/>
      <c r="F571" s="127" t="s">
        <v>1141</v>
      </c>
      <c r="G571" s="129">
        <f>916+440</f>
        <v>1356</v>
      </c>
      <c r="H571" s="129">
        <v>0</v>
      </c>
      <c r="I571" s="127"/>
      <c r="J571" s="129">
        <f t="shared" si="174"/>
        <v>0</v>
      </c>
      <c r="K571" s="129"/>
      <c r="L571" s="140"/>
      <c r="M571" s="129"/>
      <c r="N571" s="129"/>
      <c r="O571" s="129">
        <f t="shared" si="175"/>
        <v>0</v>
      </c>
      <c r="P571" s="309"/>
      <c r="Q571" s="309"/>
      <c r="R571" s="309"/>
      <c r="S571" s="309"/>
    </row>
    <row r="572" spans="1:19" x14ac:dyDescent="0.25">
      <c r="A572" s="127"/>
      <c r="B572" s="127"/>
      <c r="C572" s="127"/>
      <c r="D572" s="127"/>
      <c r="E572" s="127"/>
      <c r="F572" s="127" t="s">
        <v>804</v>
      </c>
      <c r="G572" s="129">
        <f>1500</f>
        <v>1500</v>
      </c>
      <c r="H572" s="129">
        <v>0</v>
      </c>
      <c r="I572" s="127"/>
      <c r="J572" s="129">
        <f t="shared" si="174"/>
        <v>0</v>
      </c>
      <c r="K572" s="129"/>
      <c r="L572" s="140">
        <v>0</v>
      </c>
      <c r="M572" s="129"/>
      <c r="N572" s="129"/>
      <c r="O572" s="129">
        <f t="shared" si="175"/>
        <v>0</v>
      </c>
      <c r="P572" s="309"/>
      <c r="Q572" s="309"/>
      <c r="R572" s="309"/>
      <c r="S572" s="309"/>
    </row>
    <row r="573" spans="1:19" x14ac:dyDescent="0.25">
      <c r="A573" s="127">
        <v>5</v>
      </c>
      <c r="B573" s="127">
        <v>1</v>
      </c>
      <c r="C573" s="127">
        <v>3</v>
      </c>
      <c r="D573" s="127">
        <v>6</v>
      </c>
      <c r="E573" s="127"/>
      <c r="F573" s="127" t="s">
        <v>477</v>
      </c>
      <c r="G573" s="145">
        <f t="shared" ref="G573:L573" si="193">G574</f>
        <v>12101</v>
      </c>
      <c r="H573" s="145">
        <f t="shared" si="193"/>
        <v>0</v>
      </c>
      <c r="I573" s="145">
        <f t="shared" si="193"/>
        <v>0</v>
      </c>
      <c r="J573" s="145">
        <f t="shared" si="193"/>
        <v>0</v>
      </c>
      <c r="K573" s="145"/>
      <c r="L573" s="145">
        <f t="shared" si="193"/>
        <v>14254</v>
      </c>
      <c r="M573" s="145"/>
      <c r="N573" s="145"/>
      <c r="O573" s="145">
        <f t="shared" ref="O573" si="194">O574</f>
        <v>14254</v>
      </c>
      <c r="P573" s="309"/>
      <c r="Q573" s="309"/>
      <c r="R573" s="309"/>
      <c r="S573" s="309"/>
    </row>
    <row r="574" spans="1:19" ht="36" x14ac:dyDescent="0.25">
      <c r="A574" s="127"/>
      <c r="B574" s="127"/>
      <c r="C574" s="127"/>
      <c r="D574" s="127"/>
      <c r="E574" s="127"/>
      <c r="F574" s="127" t="s">
        <v>805</v>
      </c>
      <c r="G574" s="129">
        <f>1197+1856+3480+5568+0</f>
        <v>12101</v>
      </c>
      <c r="H574" s="129">
        <v>0</v>
      </c>
      <c r="I574" s="127"/>
      <c r="J574" s="129">
        <f t="shared" si="174"/>
        <v>0</v>
      </c>
      <c r="K574" s="129"/>
      <c r="L574" s="140">
        <v>14254</v>
      </c>
      <c r="M574" s="129"/>
      <c r="N574" s="129"/>
      <c r="O574" s="129">
        <f t="shared" si="175"/>
        <v>14254</v>
      </c>
      <c r="P574" s="309"/>
      <c r="Q574" s="309"/>
      <c r="R574" s="309"/>
      <c r="S574" s="309"/>
    </row>
    <row r="575" spans="1:19" x14ac:dyDescent="0.25">
      <c r="A575" s="127">
        <v>5</v>
      </c>
      <c r="B575" s="127">
        <v>1</v>
      </c>
      <c r="C575" s="127">
        <v>3</v>
      </c>
      <c r="D575" s="127">
        <v>7</v>
      </c>
      <c r="E575" s="127"/>
      <c r="F575" s="127" t="s">
        <v>478</v>
      </c>
      <c r="G575" s="145">
        <f t="shared" ref="G575" si="195">SUM(G576:G581)</f>
        <v>35266</v>
      </c>
      <c r="H575" s="145">
        <f t="shared" ref="H575:I575" si="196">SUM(H576:H581)</f>
        <v>5051</v>
      </c>
      <c r="I575" s="145">
        <f t="shared" si="196"/>
        <v>0</v>
      </c>
      <c r="J575" s="145">
        <f t="shared" ref="J575" si="197">SUM(J576:J581)</f>
        <v>5051</v>
      </c>
      <c r="K575" s="145"/>
      <c r="L575" s="145">
        <f t="shared" ref="L575" si="198">SUM(L576:L581)</f>
        <v>213724</v>
      </c>
      <c r="M575" s="145"/>
      <c r="N575" s="145"/>
      <c r="O575" s="145">
        <f t="shared" ref="O575" si="199">SUM(O576:O581)</f>
        <v>213724</v>
      </c>
      <c r="P575" s="309"/>
      <c r="Q575" s="309"/>
      <c r="R575" s="309"/>
      <c r="S575" s="309"/>
    </row>
    <row r="576" spans="1:19" x14ac:dyDescent="0.25">
      <c r="A576" s="127"/>
      <c r="B576" s="127"/>
      <c r="C576" s="127"/>
      <c r="D576" s="127"/>
      <c r="E576" s="127"/>
      <c r="F576" s="127" t="s">
        <v>806</v>
      </c>
      <c r="G576" s="129">
        <f>0+0+5843+0+0+0</f>
        <v>5843</v>
      </c>
      <c r="H576" s="129">
        <v>0</v>
      </c>
      <c r="I576" s="127"/>
      <c r="J576" s="129">
        <f t="shared" si="174"/>
        <v>0</v>
      </c>
      <c r="K576" s="129"/>
      <c r="L576" s="140">
        <v>48996</v>
      </c>
      <c r="M576" s="129"/>
      <c r="N576" s="129"/>
      <c r="O576" s="129">
        <f t="shared" si="175"/>
        <v>48996</v>
      </c>
      <c r="P576" s="309"/>
      <c r="Q576" s="309"/>
      <c r="R576" s="309"/>
      <c r="S576" s="309"/>
    </row>
    <row r="577" spans="1:19" x14ac:dyDescent="0.25">
      <c r="A577" s="127"/>
      <c r="B577" s="127"/>
      <c r="C577" s="127"/>
      <c r="D577" s="127"/>
      <c r="E577" s="127"/>
      <c r="F577" s="127" t="s">
        <v>807</v>
      </c>
      <c r="G577" s="129">
        <f>0+0+1094+744+156+76+231+238+1+101+138+334+183</f>
        <v>3296</v>
      </c>
      <c r="H577" s="129">
        <v>795</v>
      </c>
      <c r="I577" s="127"/>
      <c r="J577" s="129">
        <f t="shared" si="174"/>
        <v>795</v>
      </c>
      <c r="K577" s="129"/>
      <c r="L577" s="140">
        <v>5892</v>
      </c>
      <c r="M577" s="129"/>
      <c r="N577" s="129"/>
      <c r="O577" s="129">
        <f t="shared" si="175"/>
        <v>5892</v>
      </c>
      <c r="P577" s="309"/>
      <c r="Q577" s="309"/>
      <c r="R577" s="309"/>
      <c r="S577" s="309"/>
    </row>
    <row r="578" spans="1:19" x14ac:dyDescent="0.25">
      <c r="A578" s="127"/>
      <c r="B578" s="127"/>
      <c r="C578" s="127"/>
      <c r="D578" s="127"/>
      <c r="E578" s="127"/>
      <c r="F578" s="127" t="s">
        <v>808</v>
      </c>
      <c r="G578" s="129">
        <f>7094+572+568+7853+677+2630+874+478+1119+1394+1670+1198</f>
        <v>26127</v>
      </c>
      <c r="H578" s="129">
        <v>2321</v>
      </c>
      <c r="I578" s="127"/>
      <c r="J578" s="129">
        <f t="shared" si="174"/>
        <v>2321</v>
      </c>
      <c r="K578" s="129"/>
      <c r="L578" s="140">
        <v>158836</v>
      </c>
      <c r="M578" s="129"/>
      <c r="N578" s="129"/>
      <c r="O578" s="129">
        <f t="shared" si="175"/>
        <v>158836</v>
      </c>
      <c r="P578" s="309"/>
      <c r="Q578" s="309"/>
      <c r="R578" s="309"/>
      <c r="S578" s="309"/>
    </row>
    <row r="579" spans="1:19" x14ac:dyDescent="0.25">
      <c r="A579" s="127"/>
      <c r="B579" s="127"/>
      <c r="C579" s="127"/>
      <c r="D579" s="127"/>
      <c r="E579" s="127"/>
      <c r="F579" s="127" t="s">
        <v>809</v>
      </c>
      <c r="G579" s="129">
        <f>0+0+0</f>
        <v>0</v>
      </c>
      <c r="H579" s="129">
        <v>1935</v>
      </c>
      <c r="I579" s="127"/>
      <c r="J579" s="129">
        <f t="shared" si="174"/>
        <v>1935</v>
      </c>
      <c r="K579" s="129"/>
      <c r="L579" s="140">
        <v>0</v>
      </c>
      <c r="M579" s="129"/>
      <c r="N579" s="129"/>
      <c r="O579" s="129">
        <f t="shared" si="175"/>
        <v>0</v>
      </c>
      <c r="P579" s="309"/>
      <c r="Q579" s="309"/>
      <c r="R579" s="309"/>
      <c r="S579" s="309"/>
    </row>
    <row r="580" spans="1:19" x14ac:dyDescent="0.25">
      <c r="A580" s="127"/>
      <c r="B580" s="127"/>
      <c r="C580" s="127"/>
      <c r="D580" s="127"/>
      <c r="E580" s="127"/>
      <c r="F580" s="127" t="s">
        <v>810</v>
      </c>
      <c r="G580" s="129"/>
      <c r="H580" s="129"/>
      <c r="I580" s="127"/>
      <c r="J580" s="129">
        <f t="shared" si="174"/>
        <v>0</v>
      </c>
      <c r="K580" s="129"/>
      <c r="L580" s="140">
        <v>0</v>
      </c>
      <c r="M580" s="129"/>
      <c r="N580" s="129"/>
      <c r="O580" s="129">
        <f t="shared" si="175"/>
        <v>0</v>
      </c>
      <c r="P580" s="309"/>
      <c r="Q580" s="309"/>
      <c r="R580" s="309"/>
      <c r="S580" s="309"/>
    </row>
    <row r="581" spans="1:19" x14ac:dyDescent="0.25">
      <c r="A581" s="127"/>
      <c r="B581" s="127"/>
      <c r="C581" s="127"/>
      <c r="D581" s="127"/>
      <c r="E581" s="127"/>
      <c r="F581" s="127" t="s">
        <v>811</v>
      </c>
      <c r="G581" s="129"/>
      <c r="H581" s="129"/>
      <c r="I581" s="127"/>
      <c r="J581" s="129">
        <f t="shared" si="174"/>
        <v>0</v>
      </c>
      <c r="K581" s="129"/>
      <c r="L581" s="140">
        <v>0</v>
      </c>
      <c r="M581" s="129"/>
      <c r="N581" s="129"/>
      <c r="O581" s="129">
        <f t="shared" si="175"/>
        <v>0</v>
      </c>
      <c r="P581" s="309"/>
      <c r="Q581" s="309"/>
      <c r="R581" s="309"/>
      <c r="S581" s="309"/>
    </row>
    <row r="582" spans="1:19" x14ac:dyDescent="0.25">
      <c r="A582" s="127">
        <v>5</v>
      </c>
      <c r="B582" s="127">
        <v>1</v>
      </c>
      <c r="C582" s="127">
        <v>3</v>
      </c>
      <c r="D582" s="127">
        <v>8</v>
      </c>
      <c r="E582" s="127"/>
      <c r="F582" s="127" t="s">
        <v>479</v>
      </c>
      <c r="G582" s="145">
        <f t="shared" ref="G582" si="200">SUM(G583:G587)</f>
        <v>8410</v>
      </c>
      <c r="H582" s="145">
        <f t="shared" ref="H582:I582" si="201">SUM(H583:H587)</f>
        <v>10254</v>
      </c>
      <c r="I582" s="145">
        <f t="shared" si="201"/>
        <v>0</v>
      </c>
      <c r="J582" s="145">
        <f t="shared" ref="J582" si="202">SUM(J583:J587)</f>
        <v>10254</v>
      </c>
      <c r="K582" s="145"/>
      <c r="L582" s="145">
        <f t="shared" ref="L582" si="203">SUM(L583:L587)</f>
        <v>45220</v>
      </c>
      <c r="M582" s="145"/>
      <c r="N582" s="145"/>
      <c r="O582" s="145">
        <f t="shared" ref="O582" si="204">SUM(O583:O587)</f>
        <v>45220</v>
      </c>
      <c r="P582" s="309"/>
      <c r="Q582" s="309"/>
      <c r="R582" s="309"/>
      <c r="S582" s="309"/>
    </row>
    <row r="583" spans="1:19" x14ac:dyDescent="0.25">
      <c r="A583" s="127"/>
      <c r="B583" s="127"/>
      <c r="C583" s="127"/>
      <c r="D583" s="127"/>
      <c r="E583" s="127"/>
      <c r="F583" s="127" t="s">
        <v>812</v>
      </c>
      <c r="G583" s="129">
        <f>250+0+1160</f>
        <v>1410</v>
      </c>
      <c r="H583" s="129">
        <v>0</v>
      </c>
      <c r="I583" s="127"/>
      <c r="J583" s="129">
        <f t="shared" si="174"/>
        <v>0</v>
      </c>
      <c r="K583" s="129"/>
      <c r="L583" s="140">
        <v>45220</v>
      </c>
      <c r="M583" s="129"/>
      <c r="N583" s="129"/>
      <c r="O583" s="129">
        <f t="shared" si="175"/>
        <v>45220</v>
      </c>
      <c r="P583" s="309"/>
      <c r="Q583" s="309"/>
      <c r="R583" s="309"/>
      <c r="S583" s="309"/>
    </row>
    <row r="584" spans="1:19" x14ac:dyDescent="0.25">
      <c r="A584" s="127"/>
      <c r="B584" s="127"/>
      <c r="C584" s="127"/>
      <c r="D584" s="127"/>
      <c r="E584" s="127"/>
      <c r="F584" s="127" t="s">
        <v>813</v>
      </c>
      <c r="G584" s="129"/>
      <c r="H584" s="129">
        <v>3254</v>
      </c>
      <c r="I584" s="127"/>
      <c r="J584" s="129">
        <f t="shared" si="174"/>
        <v>3254</v>
      </c>
      <c r="K584" s="129"/>
      <c r="L584" s="140">
        <v>0</v>
      </c>
      <c r="M584" s="129"/>
      <c r="N584" s="129"/>
      <c r="O584" s="129">
        <f t="shared" si="175"/>
        <v>0</v>
      </c>
      <c r="P584" s="309"/>
      <c r="Q584" s="309"/>
      <c r="R584" s="309"/>
      <c r="S584" s="309"/>
    </row>
    <row r="585" spans="1:19" x14ac:dyDescent="0.25">
      <c r="A585" s="127"/>
      <c r="B585" s="127"/>
      <c r="C585" s="127"/>
      <c r="D585" s="127"/>
      <c r="E585" s="127"/>
      <c r="F585" s="127" t="s">
        <v>814</v>
      </c>
      <c r="G585" s="129">
        <f>0+7000+0</f>
        <v>7000</v>
      </c>
      <c r="H585" s="129">
        <v>0</v>
      </c>
      <c r="I585" s="127"/>
      <c r="J585" s="129">
        <f t="shared" si="174"/>
        <v>0</v>
      </c>
      <c r="K585" s="129"/>
      <c r="L585" s="140">
        <v>0</v>
      </c>
      <c r="M585" s="129"/>
      <c r="N585" s="129"/>
      <c r="O585" s="129">
        <f t="shared" si="175"/>
        <v>0</v>
      </c>
      <c r="P585" s="309"/>
      <c r="Q585" s="309"/>
      <c r="R585" s="309"/>
      <c r="S585" s="309"/>
    </row>
    <row r="586" spans="1:19" x14ac:dyDescent="0.25">
      <c r="A586" s="127"/>
      <c r="B586" s="127"/>
      <c r="C586" s="127"/>
      <c r="D586" s="127"/>
      <c r="E586" s="127"/>
      <c r="F586" s="127" t="s">
        <v>815</v>
      </c>
      <c r="G586" s="129"/>
      <c r="H586" s="129">
        <v>7000</v>
      </c>
      <c r="I586" s="127"/>
      <c r="J586" s="129">
        <f t="shared" si="174"/>
        <v>7000</v>
      </c>
      <c r="K586" s="129"/>
      <c r="L586" s="140">
        <v>0</v>
      </c>
      <c r="M586" s="129"/>
      <c r="N586" s="129"/>
      <c r="O586" s="129">
        <f t="shared" si="175"/>
        <v>0</v>
      </c>
      <c r="P586" s="309"/>
      <c r="Q586" s="309"/>
      <c r="R586" s="309"/>
      <c r="S586" s="309"/>
    </row>
    <row r="587" spans="1:19" x14ac:dyDescent="0.25">
      <c r="A587" s="127"/>
      <c r="B587" s="127"/>
      <c r="C587" s="127"/>
      <c r="D587" s="127"/>
      <c r="E587" s="127"/>
      <c r="F587" s="127" t="s">
        <v>816</v>
      </c>
      <c r="G587" s="129"/>
      <c r="H587" s="129"/>
      <c r="I587" s="127"/>
      <c r="J587" s="129">
        <f t="shared" si="174"/>
        <v>0</v>
      </c>
      <c r="K587" s="129"/>
      <c r="L587" s="140">
        <v>0</v>
      </c>
      <c r="M587" s="129"/>
      <c r="N587" s="129"/>
      <c r="O587" s="129">
        <f t="shared" si="175"/>
        <v>0</v>
      </c>
      <c r="P587" s="309"/>
      <c r="Q587" s="309"/>
      <c r="R587" s="309"/>
      <c r="S587" s="309"/>
    </row>
    <row r="588" spans="1:19" x14ac:dyDescent="0.25">
      <c r="A588" s="127">
        <v>5</v>
      </c>
      <c r="B588" s="127">
        <v>1</v>
      </c>
      <c r="C588" s="127">
        <v>3</v>
      </c>
      <c r="D588" s="127">
        <v>9</v>
      </c>
      <c r="E588" s="127"/>
      <c r="F588" s="127" t="s">
        <v>480</v>
      </c>
      <c r="G588" s="145">
        <f t="shared" ref="G588" si="205">SUM(G589:G593)</f>
        <v>808676</v>
      </c>
      <c r="H588" s="145">
        <f>SUM(H589:H593)</f>
        <v>1883171</v>
      </c>
      <c r="I588" s="145">
        <f>SUM(I589:I593)</f>
        <v>0</v>
      </c>
      <c r="J588" s="145">
        <f>SUM(J589:J593)</f>
        <v>1883171</v>
      </c>
      <c r="K588" s="145"/>
      <c r="L588" s="145">
        <f t="shared" ref="L588" si="206">SUM(L589:L593)</f>
        <v>225741</v>
      </c>
      <c r="M588" s="145"/>
      <c r="N588" s="145"/>
      <c r="O588" s="145">
        <f t="shared" ref="O588" si="207">SUM(O589:O593)</f>
        <v>225741</v>
      </c>
      <c r="P588" s="309"/>
      <c r="Q588" s="309"/>
      <c r="R588" s="309"/>
      <c r="S588" s="309"/>
    </row>
    <row r="589" spans="1:19" x14ac:dyDescent="0.25">
      <c r="A589" s="127"/>
      <c r="B589" s="127"/>
      <c r="C589" s="127"/>
      <c r="D589" s="127"/>
      <c r="E589" s="127"/>
      <c r="F589" s="127" t="s">
        <v>817</v>
      </c>
      <c r="G589" s="129"/>
      <c r="H589" s="129"/>
      <c r="I589" s="127"/>
      <c r="J589" s="129">
        <f t="shared" si="174"/>
        <v>0</v>
      </c>
      <c r="K589" s="129"/>
      <c r="L589" s="140">
        <v>0</v>
      </c>
      <c r="M589" s="129"/>
      <c r="N589" s="129"/>
      <c r="O589" s="129">
        <f t="shared" si="175"/>
        <v>0</v>
      </c>
      <c r="P589" s="309"/>
      <c r="Q589" s="309"/>
      <c r="R589" s="309"/>
      <c r="S589" s="309"/>
    </row>
    <row r="590" spans="1:19" ht="24" x14ac:dyDescent="0.25">
      <c r="A590" s="127"/>
      <c r="B590" s="127"/>
      <c r="C590" s="127"/>
      <c r="D590" s="127"/>
      <c r="E590" s="127"/>
      <c r="F590" s="127" t="s">
        <v>1253</v>
      </c>
      <c r="G590" s="129"/>
      <c r="H590" s="129">
        <v>1498311</v>
      </c>
      <c r="I590" s="127"/>
      <c r="J590" s="129">
        <f t="shared" ref="J590:J591" si="208">H590</f>
        <v>1498311</v>
      </c>
      <c r="K590" s="129"/>
      <c r="L590" s="140"/>
      <c r="M590" s="129"/>
      <c r="N590" s="129"/>
      <c r="O590" s="129"/>
      <c r="P590" s="309"/>
      <c r="Q590" s="309"/>
      <c r="R590" s="309"/>
      <c r="S590" s="309"/>
    </row>
    <row r="591" spans="1:19" x14ac:dyDescent="0.25">
      <c r="A591" s="127"/>
      <c r="B591" s="127"/>
      <c r="C591" s="127"/>
      <c r="D591" s="127"/>
      <c r="E591" s="127"/>
      <c r="F591" s="127" t="s">
        <v>1254</v>
      </c>
      <c r="G591" s="129"/>
      <c r="H591" s="129">
        <v>316669</v>
      </c>
      <c r="I591" s="127"/>
      <c r="J591" s="129">
        <f t="shared" si="208"/>
        <v>316669</v>
      </c>
      <c r="K591" s="129"/>
      <c r="L591" s="140"/>
      <c r="M591" s="129"/>
      <c r="N591" s="129"/>
      <c r="O591" s="129"/>
      <c r="P591" s="309"/>
      <c r="Q591" s="309"/>
      <c r="R591" s="309"/>
      <c r="S591" s="309"/>
    </row>
    <row r="592" spans="1:19" ht="24" x14ac:dyDescent="0.25">
      <c r="A592" s="127"/>
      <c r="B592" s="127"/>
      <c r="C592" s="127"/>
      <c r="D592" s="127"/>
      <c r="E592" s="127"/>
      <c r="F592" s="127" t="s">
        <v>818</v>
      </c>
      <c r="G592" s="129">
        <f>26274+15076+15156+14551+14643+14736+14736+14736+15388+15533+15533+17875</f>
        <v>194237</v>
      </c>
      <c r="H592" s="129">
        <v>61871</v>
      </c>
      <c r="I592" s="127"/>
      <c r="J592" s="129">
        <f t="shared" si="174"/>
        <v>61871</v>
      </c>
      <c r="K592" s="129"/>
      <c r="L592" s="140">
        <v>168304</v>
      </c>
      <c r="M592" s="129"/>
      <c r="N592" s="129"/>
      <c r="O592" s="129">
        <f t="shared" si="175"/>
        <v>168304</v>
      </c>
      <c r="P592" s="309"/>
      <c r="Q592" s="309"/>
      <c r="R592" s="309"/>
      <c r="S592" s="309"/>
    </row>
    <row r="593" spans="1:19" x14ac:dyDescent="0.25">
      <c r="A593" s="127"/>
      <c r="B593" s="127"/>
      <c r="C593" s="127"/>
      <c r="D593" s="127"/>
      <c r="E593" s="127"/>
      <c r="F593" s="127" t="s">
        <v>480</v>
      </c>
      <c r="G593" s="129">
        <f>4732+1394+2066+14218+351129+231251+3815+1+2277+891+2665</f>
        <v>614439</v>
      </c>
      <c r="H593" s="129">
        <v>6320</v>
      </c>
      <c r="I593" s="127"/>
      <c r="J593" s="129">
        <f t="shared" si="174"/>
        <v>6320</v>
      </c>
      <c r="K593" s="129"/>
      <c r="L593" s="140">
        <v>57437</v>
      </c>
      <c r="M593" s="129"/>
      <c r="N593" s="129"/>
      <c r="O593" s="129">
        <f t="shared" si="175"/>
        <v>57437</v>
      </c>
      <c r="P593" s="309"/>
      <c r="Q593" s="309"/>
      <c r="R593" s="309"/>
      <c r="S593" s="309"/>
    </row>
    <row r="594" spans="1:19" ht="24" x14ac:dyDescent="0.25">
      <c r="A594" s="126">
        <v>5</v>
      </c>
      <c r="B594" s="126">
        <v>2</v>
      </c>
      <c r="C594" s="126"/>
      <c r="D594" s="126"/>
      <c r="E594" s="126"/>
      <c r="F594" s="126" t="s">
        <v>481</v>
      </c>
      <c r="G594" s="126"/>
      <c r="H594" s="129"/>
      <c r="I594" s="126"/>
      <c r="J594" s="129"/>
      <c r="K594" s="129"/>
      <c r="L594" s="126"/>
      <c r="M594" s="129"/>
      <c r="N594" s="129"/>
      <c r="O594" s="129"/>
      <c r="P594" s="309"/>
      <c r="Q594" s="309"/>
      <c r="R594" s="309"/>
      <c r="S594" s="309"/>
    </row>
    <row r="595" spans="1:19" ht="24" x14ac:dyDescent="0.25">
      <c r="A595" s="127">
        <v>5</v>
      </c>
      <c r="B595" s="127">
        <v>2</v>
      </c>
      <c r="C595" s="127">
        <v>1</v>
      </c>
      <c r="D595" s="127"/>
      <c r="E595" s="127"/>
      <c r="F595" s="128" t="s">
        <v>66</v>
      </c>
      <c r="G595" s="128"/>
      <c r="H595" s="129"/>
      <c r="I595" s="128"/>
      <c r="J595" s="129"/>
      <c r="K595" s="129"/>
      <c r="L595" s="128"/>
      <c r="M595" s="129"/>
      <c r="N595" s="129"/>
      <c r="O595" s="129"/>
      <c r="P595" s="309"/>
      <c r="Q595" s="309"/>
      <c r="R595" s="309"/>
      <c r="S595" s="309"/>
    </row>
    <row r="596" spans="1:19" x14ac:dyDescent="0.25">
      <c r="A596" s="127">
        <v>5</v>
      </c>
      <c r="B596" s="127">
        <v>2</v>
      </c>
      <c r="C596" s="127">
        <v>1</v>
      </c>
      <c r="D596" s="127">
        <v>1</v>
      </c>
      <c r="E596" s="127"/>
      <c r="F596" s="127" t="s">
        <v>482</v>
      </c>
      <c r="G596" s="127"/>
      <c r="H596" s="129"/>
      <c r="I596" s="127"/>
      <c r="J596" s="129"/>
      <c r="K596" s="129"/>
      <c r="L596" s="127"/>
      <c r="M596" s="129"/>
      <c r="N596" s="129"/>
      <c r="O596" s="129"/>
      <c r="P596" s="309"/>
      <c r="Q596" s="309"/>
      <c r="R596" s="309"/>
      <c r="S596" s="309"/>
    </row>
    <row r="597" spans="1:19" x14ac:dyDescent="0.25">
      <c r="A597" s="127">
        <v>5</v>
      </c>
      <c r="B597" s="127">
        <v>2</v>
      </c>
      <c r="C597" s="127">
        <v>1</v>
      </c>
      <c r="D597" s="127">
        <v>2</v>
      </c>
      <c r="E597" s="127"/>
      <c r="F597" s="127" t="s">
        <v>483</v>
      </c>
      <c r="G597" s="127"/>
      <c r="H597" s="129"/>
      <c r="I597" s="127"/>
      <c r="J597" s="129"/>
      <c r="K597" s="129"/>
      <c r="L597" s="127"/>
      <c r="M597" s="129"/>
      <c r="N597" s="129"/>
      <c r="O597" s="129"/>
      <c r="P597" s="309"/>
      <c r="Q597" s="309"/>
      <c r="R597" s="309"/>
      <c r="S597" s="309"/>
    </row>
    <row r="598" spans="1:19" x14ac:dyDescent="0.25">
      <c r="A598" s="127">
        <v>5</v>
      </c>
      <c r="B598" s="127">
        <v>2</v>
      </c>
      <c r="C598" s="127">
        <v>2</v>
      </c>
      <c r="D598" s="127"/>
      <c r="E598" s="127"/>
      <c r="F598" s="128" t="s">
        <v>67</v>
      </c>
      <c r="G598" s="128"/>
      <c r="H598" s="129"/>
      <c r="I598" s="128"/>
      <c r="J598" s="129"/>
      <c r="K598" s="129"/>
      <c r="L598" s="128"/>
      <c r="M598" s="129"/>
      <c r="N598" s="129"/>
      <c r="O598" s="129"/>
      <c r="P598" s="309"/>
      <c r="Q598" s="309"/>
      <c r="R598" s="309"/>
      <c r="S598" s="309"/>
    </row>
    <row r="599" spans="1:19" x14ac:dyDescent="0.25">
      <c r="A599" s="127">
        <v>5</v>
      </c>
      <c r="B599" s="127">
        <v>2</v>
      </c>
      <c r="C599" s="127">
        <v>2</v>
      </c>
      <c r="D599" s="127">
        <v>1</v>
      </c>
      <c r="E599" s="127"/>
      <c r="F599" s="127" t="s">
        <v>484</v>
      </c>
      <c r="G599" s="127"/>
      <c r="H599" s="129"/>
      <c r="I599" s="127"/>
      <c r="J599" s="129"/>
      <c r="K599" s="129"/>
      <c r="L599" s="127"/>
      <c r="M599" s="129"/>
      <c r="N599" s="129"/>
      <c r="O599" s="129"/>
      <c r="P599" s="309"/>
      <c r="Q599" s="309"/>
      <c r="R599" s="309"/>
      <c r="S599" s="309"/>
    </row>
    <row r="600" spans="1:19" x14ac:dyDescent="0.25">
      <c r="A600" s="127">
        <v>5</v>
      </c>
      <c r="B600" s="127">
        <v>2</v>
      </c>
      <c r="C600" s="127">
        <v>2</v>
      </c>
      <c r="D600" s="127">
        <v>2</v>
      </c>
      <c r="E600" s="127"/>
      <c r="F600" s="127" t="s">
        <v>485</v>
      </c>
      <c r="G600" s="127"/>
      <c r="H600" s="129"/>
      <c r="I600" s="127"/>
      <c r="J600" s="129"/>
      <c r="K600" s="129"/>
      <c r="L600" s="127"/>
      <c r="M600" s="129"/>
      <c r="N600" s="129"/>
      <c r="O600" s="129"/>
      <c r="P600" s="309"/>
      <c r="Q600" s="309"/>
      <c r="R600" s="309"/>
      <c r="S600" s="309"/>
    </row>
    <row r="601" spans="1:19" x14ac:dyDescent="0.25">
      <c r="A601" s="127">
        <v>5</v>
      </c>
      <c r="B601" s="127">
        <v>2</v>
      </c>
      <c r="C601" s="127">
        <v>3</v>
      </c>
      <c r="D601" s="127"/>
      <c r="E601" s="127"/>
      <c r="F601" s="128" t="s">
        <v>68</v>
      </c>
      <c r="G601" s="128"/>
      <c r="H601" s="129"/>
      <c r="I601" s="128"/>
      <c r="J601" s="129"/>
      <c r="K601" s="129"/>
      <c r="L601" s="128"/>
      <c r="M601" s="129"/>
      <c r="N601" s="129"/>
      <c r="O601" s="129"/>
      <c r="P601" s="309"/>
      <c r="Q601" s="309"/>
      <c r="R601" s="309"/>
      <c r="S601" s="309"/>
    </row>
    <row r="602" spans="1:19" x14ac:dyDescent="0.25">
      <c r="A602" s="127">
        <v>5</v>
      </c>
      <c r="B602" s="127">
        <v>2</v>
      </c>
      <c r="C602" s="127">
        <v>3</v>
      </c>
      <c r="D602" s="127">
        <v>1</v>
      </c>
      <c r="E602" s="127"/>
      <c r="F602" s="127" t="s">
        <v>486</v>
      </c>
      <c r="G602" s="127"/>
      <c r="H602" s="129"/>
      <c r="I602" s="127"/>
      <c r="J602" s="129"/>
      <c r="K602" s="129"/>
      <c r="L602" s="127"/>
      <c r="M602" s="129"/>
      <c r="N602" s="129"/>
      <c r="O602" s="129"/>
      <c r="P602" s="309"/>
      <c r="Q602" s="309"/>
      <c r="R602" s="309"/>
      <c r="S602" s="309"/>
    </row>
    <row r="603" spans="1:19" x14ac:dyDescent="0.25">
      <c r="A603" s="127">
        <v>5</v>
      </c>
      <c r="B603" s="127">
        <v>2</v>
      </c>
      <c r="C603" s="127">
        <v>3</v>
      </c>
      <c r="D603" s="127">
        <v>2</v>
      </c>
      <c r="E603" s="127"/>
      <c r="F603" s="127" t="s">
        <v>487</v>
      </c>
      <c r="G603" s="127"/>
      <c r="H603" s="129"/>
      <c r="I603" s="127"/>
      <c r="J603" s="129"/>
      <c r="K603" s="129"/>
      <c r="L603" s="127"/>
      <c r="M603" s="129"/>
      <c r="N603" s="129"/>
      <c r="O603" s="129"/>
      <c r="P603" s="309"/>
      <c r="Q603" s="309"/>
      <c r="R603" s="309"/>
      <c r="S603" s="309"/>
    </row>
    <row r="604" spans="1:19" x14ac:dyDescent="0.25">
      <c r="A604" s="127">
        <v>5</v>
      </c>
      <c r="B604" s="127">
        <v>2</v>
      </c>
      <c r="C604" s="127">
        <v>4</v>
      </c>
      <c r="D604" s="127"/>
      <c r="E604" s="127"/>
      <c r="F604" s="128" t="s">
        <v>69</v>
      </c>
      <c r="G604" s="128"/>
      <c r="H604" s="129"/>
      <c r="I604" s="128"/>
      <c r="J604" s="129"/>
      <c r="K604" s="129"/>
      <c r="L604" s="128"/>
      <c r="M604" s="129"/>
      <c r="N604" s="129"/>
      <c r="O604" s="129"/>
      <c r="P604" s="309"/>
      <c r="Q604" s="309"/>
      <c r="R604" s="309"/>
      <c r="S604" s="309"/>
    </row>
    <row r="605" spans="1:19" x14ac:dyDescent="0.25">
      <c r="A605" s="127">
        <v>5</v>
      </c>
      <c r="B605" s="127">
        <v>2</v>
      </c>
      <c r="C605" s="127">
        <v>4</v>
      </c>
      <c r="D605" s="127">
        <v>1</v>
      </c>
      <c r="E605" s="127"/>
      <c r="F605" s="127" t="s">
        <v>488</v>
      </c>
      <c r="G605" s="127"/>
      <c r="H605" s="129"/>
      <c r="I605" s="127"/>
      <c r="J605" s="129"/>
      <c r="K605" s="129"/>
      <c r="L605" s="127"/>
      <c r="M605" s="129"/>
      <c r="N605" s="129"/>
      <c r="O605" s="129"/>
      <c r="P605" s="309"/>
      <c r="Q605" s="309"/>
      <c r="R605" s="309"/>
      <c r="S605" s="309"/>
    </row>
    <row r="606" spans="1:19" x14ac:dyDescent="0.25">
      <c r="A606" s="127">
        <v>5</v>
      </c>
      <c r="B606" s="127">
        <v>2</v>
      </c>
      <c r="C606" s="127">
        <v>4</v>
      </c>
      <c r="D606" s="127">
        <v>2</v>
      </c>
      <c r="E606" s="127"/>
      <c r="F606" s="127" t="s">
        <v>489</v>
      </c>
      <c r="G606" s="127"/>
      <c r="H606" s="129"/>
      <c r="I606" s="127"/>
      <c r="J606" s="129"/>
      <c r="K606" s="129"/>
      <c r="L606" s="127"/>
      <c r="M606" s="129"/>
      <c r="N606" s="129"/>
      <c r="O606" s="129"/>
      <c r="P606" s="309"/>
      <c r="Q606" s="309"/>
      <c r="R606" s="309"/>
      <c r="S606" s="309"/>
    </row>
    <row r="607" spans="1:19" x14ac:dyDescent="0.25">
      <c r="A607" s="127">
        <v>5</v>
      </c>
      <c r="B607" s="127">
        <v>2</v>
      </c>
      <c r="C607" s="127">
        <v>4</v>
      </c>
      <c r="D607" s="127">
        <v>3</v>
      </c>
      <c r="E607" s="127"/>
      <c r="F607" s="127" t="s">
        <v>490</v>
      </c>
      <c r="G607" s="127"/>
      <c r="H607" s="129"/>
      <c r="I607" s="127"/>
      <c r="J607" s="129"/>
      <c r="K607" s="129"/>
      <c r="L607" s="127"/>
      <c r="M607" s="129"/>
      <c r="N607" s="129"/>
      <c r="O607" s="129"/>
      <c r="P607" s="309"/>
      <c r="Q607" s="309"/>
      <c r="R607" s="309"/>
      <c r="S607" s="309"/>
    </row>
    <row r="608" spans="1:19" ht="24" x14ac:dyDescent="0.25">
      <c r="A608" s="127">
        <v>5</v>
      </c>
      <c r="B608" s="127">
        <v>2</v>
      </c>
      <c r="C608" s="127">
        <v>4</v>
      </c>
      <c r="D608" s="127">
        <v>4</v>
      </c>
      <c r="E608" s="127"/>
      <c r="F608" s="127" t="s">
        <v>491</v>
      </c>
      <c r="G608" s="127"/>
      <c r="H608" s="129"/>
      <c r="I608" s="127"/>
      <c r="J608" s="129"/>
      <c r="K608" s="129"/>
      <c r="L608" s="127"/>
      <c r="M608" s="129"/>
      <c r="N608" s="129"/>
      <c r="O608" s="129"/>
      <c r="P608" s="309"/>
      <c r="Q608" s="309"/>
      <c r="R608" s="309"/>
      <c r="S608" s="309"/>
    </row>
    <row r="609" spans="1:19" x14ac:dyDescent="0.25">
      <c r="A609" s="127">
        <v>5</v>
      </c>
      <c r="B609" s="127">
        <v>2</v>
      </c>
      <c r="C609" s="127">
        <v>5</v>
      </c>
      <c r="D609" s="127"/>
      <c r="E609" s="127"/>
      <c r="F609" s="128" t="s">
        <v>70</v>
      </c>
      <c r="G609" s="128"/>
      <c r="H609" s="129"/>
      <c r="I609" s="128"/>
      <c r="J609" s="129"/>
      <c r="K609" s="129"/>
      <c r="L609" s="128"/>
      <c r="M609" s="129"/>
      <c r="N609" s="129"/>
      <c r="O609" s="129"/>
      <c r="P609" s="309"/>
      <c r="Q609" s="309"/>
      <c r="R609" s="309"/>
      <c r="S609" s="309"/>
    </row>
    <row r="610" spans="1:19" x14ac:dyDescent="0.25">
      <c r="A610" s="127">
        <v>5</v>
      </c>
      <c r="B610" s="127">
        <v>2</v>
      </c>
      <c r="C610" s="127">
        <v>5</v>
      </c>
      <c r="D610" s="127">
        <v>1</v>
      </c>
      <c r="E610" s="127"/>
      <c r="F610" s="127" t="s">
        <v>492</v>
      </c>
      <c r="G610" s="127"/>
      <c r="H610" s="129"/>
      <c r="I610" s="127"/>
      <c r="J610" s="129"/>
      <c r="K610" s="129"/>
      <c r="L610" s="127"/>
      <c r="M610" s="129"/>
      <c r="N610" s="129"/>
      <c r="O610" s="129"/>
      <c r="P610" s="309"/>
      <c r="Q610" s="309"/>
      <c r="R610" s="309"/>
      <c r="S610" s="309"/>
    </row>
    <row r="611" spans="1:19" x14ac:dyDescent="0.25">
      <c r="A611" s="127">
        <v>5</v>
      </c>
      <c r="B611" s="127">
        <v>2</v>
      </c>
      <c r="C611" s="127">
        <v>5</v>
      </c>
      <c r="D611" s="127">
        <v>2</v>
      </c>
      <c r="E611" s="127"/>
      <c r="F611" s="127" t="s">
        <v>493</v>
      </c>
      <c r="G611" s="127"/>
      <c r="H611" s="129"/>
      <c r="I611" s="127"/>
      <c r="J611" s="129"/>
      <c r="K611" s="129"/>
      <c r="L611" s="127"/>
      <c r="M611" s="129"/>
      <c r="N611" s="129"/>
      <c r="O611" s="129"/>
      <c r="P611" s="309"/>
      <c r="Q611" s="309"/>
      <c r="R611" s="309"/>
      <c r="S611" s="309"/>
    </row>
    <row r="612" spans="1:19" x14ac:dyDescent="0.25">
      <c r="A612" s="127">
        <v>5</v>
      </c>
      <c r="B612" s="127">
        <v>2</v>
      </c>
      <c r="C612" s="127">
        <v>5</v>
      </c>
      <c r="D612" s="127">
        <v>9</v>
      </c>
      <c r="E612" s="127"/>
      <c r="F612" s="127" t="s">
        <v>494</v>
      </c>
      <c r="G612" s="127"/>
      <c r="H612" s="129"/>
      <c r="I612" s="127"/>
      <c r="J612" s="129"/>
      <c r="K612" s="129"/>
      <c r="L612" s="127"/>
      <c r="M612" s="129"/>
      <c r="N612" s="129"/>
      <c r="O612" s="129"/>
      <c r="P612" s="309"/>
      <c r="Q612" s="309"/>
      <c r="R612" s="309"/>
      <c r="S612" s="309"/>
    </row>
    <row r="613" spans="1:19" ht="24" x14ac:dyDescent="0.25">
      <c r="A613" s="127">
        <v>5</v>
      </c>
      <c r="B613" s="127">
        <v>2</v>
      </c>
      <c r="C613" s="127">
        <v>6</v>
      </c>
      <c r="D613" s="127"/>
      <c r="E613" s="127"/>
      <c r="F613" s="128" t="s">
        <v>71</v>
      </c>
      <c r="G613" s="128"/>
      <c r="H613" s="129"/>
      <c r="I613" s="128"/>
      <c r="J613" s="129"/>
      <c r="K613" s="129"/>
      <c r="L613" s="128"/>
      <c r="M613" s="129"/>
      <c r="N613" s="129"/>
      <c r="O613" s="129"/>
      <c r="P613" s="309"/>
      <c r="Q613" s="309"/>
      <c r="R613" s="309"/>
      <c r="S613" s="309"/>
    </row>
    <row r="614" spans="1:19" ht="24" x14ac:dyDescent="0.25">
      <c r="A614" s="127">
        <v>5</v>
      </c>
      <c r="B614" s="127">
        <v>2</v>
      </c>
      <c r="C614" s="127">
        <v>6</v>
      </c>
      <c r="D614" s="127">
        <v>1</v>
      </c>
      <c r="E614" s="127"/>
      <c r="F614" s="127" t="s">
        <v>495</v>
      </c>
      <c r="G614" s="127"/>
      <c r="H614" s="129"/>
      <c r="I614" s="127"/>
      <c r="J614" s="129"/>
      <c r="K614" s="129"/>
      <c r="L614" s="127"/>
      <c r="M614" s="129"/>
      <c r="N614" s="129"/>
      <c r="O614" s="129"/>
      <c r="P614" s="309"/>
      <c r="Q614" s="309"/>
      <c r="R614" s="309"/>
      <c r="S614" s="309"/>
    </row>
    <row r="615" spans="1:19" ht="24" x14ac:dyDescent="0.25">
      <c r="A615" s="127">
        <v>5</v>
      </c>
      <c r="B615" s="127">
        <v>2</v>
      </c>
      <c r="C615" s="127">
        <v>6</v>
      </c>
      <c r="D615" s="127">
        <v>2</v>
      </c>
      <c r="E615" s="127"/>
      <c r="F615" s="127" t="s">
        <v>496</v>
      </c>
      <c r="G615" s="127"/>
      <c r="H615" s="129"/>
      <c r="I615" s="127"/>
      <c r="J615" s="129"/>
      <c r="K615" s="129"/>
      <c r="L615" s="127"/>
      <c r="M615" s="129"/>
      <c r="N615" s="129"/>
      <c r="O615" s="129"/>
      <c r="P615" s="309"/>
      <c r="Q615" s="309"/>
      <c r="R615" s="309"/>
      <c r="S615" s="309"/>
    </row>
    <row r="616" spans="1:19" x14ac:dyDescent="0.25">
      <c r="A616" s="127">
        <v>5</v>
      </c>
      <c r="B616" s="127">
        <v>2</v>
      </c>
      <c r="C616" s="127">
        <v>7</v>
      </c>
      <c r="D616" s="127"/>
      <c r="E616" s="127"/>
      <c r="F616" s="128" t="s">
        <v>72</v>
      </c>
      <c r="G616" s="128"/>
      <c r="H616" s="129"/>
      <c r="I616" s="128"/>
      <c r="J616" s="129"/>
      <c r="K616" s="129"/>
      <c r="L616" s="128"/>
      <c r="M616" s="129"/>
      <c r="N616" s="129"/>
      <c r="O616" s="129"/>
      <c r="P616" s="309"/>
      <c r="Q616" s="309"/>
      <c r="R616" s="309"/>
      <c r="S616" s="309"/>
    </row>
    <row r="617" spans="1:19" x14ac:dyDescent="0.25">
      <c r="A617" s="127">
        <v>5</v>
      </c>
      <c r="B617" s="127">
        <v>2</v>
      </c>
      <c r="C617" s="127">
        <v>7</v>
      </c>
      <c r="D617" s="127">
        <v>1</v>
      </c>
      <c r="E617" s="127"/>
      <c r="F617" s="127" t="s">
        <v>497</v>
      </c>
      <c r="G617" s="127"/>
      <c r="H617" s="129"/>
      <c r="I617" s="127"/>
      <c r="J617" s="129"/>
      <c r="K617" s="129"/>
      <c r="L617" s="127"/>
      <c r="M617" s="129"/>
      <c r="N617" s="129"/>
      <c r="O617" s="129"/>
      <c r="P617" s="309"/>
      <c r="Q617" s="309"/>
      <c r="R617" s="309"/>
      <c r="S617" s="309"/>
    </row>
    <row r="618" spans="1:19" x14ac:dyDescent="0.25">
      <c r="A618" s="127">
        <v>5</v>
      </c>
      <c r="B618" s="127">
        <v>2</v>
      </c>
      <c r="C618" s="127">
        <v>8</v>
      </c>
      <c r="D618" s="127"/>
      <c r="E618" s="127"/>
      <c r="F618" s="128" t="s">
        <v>498</v>
      </c>
      <c r="G618" s="128"/>
      <c r="H618" s="129"/>
      <c r="I618" s="128"/>
      <c r="J618" s="129"/>
      <c r="K618" s="129"/>
      <c r="L618" s="128"/>
      <c r="M618" s="129"/>
      <c r="N618" s="129"/>
      <c r="O618" s="129"/>
      <c r="P618" s="309"/>
      <c r="Q618" s="309"/>
      <c r="R618" s="309"/>
      <c r="S618" s="309"/>
    </row>
    <row r="619" spans="1:19" x14ac:dyDescent="0.25">
      <c r="A619" s="127">
        <v>5</v>
      </c>
      <c r="B619" s="127">
        <v>2</v>
      </c>
      <c r="C619" s="127">
        <v>8</v>
      </c>
      <c r="D619" s="127">
        <v>1</v>
      </c>
      <c r="E619" s="127"/>
      <c r="F619" s="127" t="s">
        <v>499</v>
      </c>
      <c r="G619" s="127"/>
      <c r="H619" s="129"/>
      <c r="I619" s="127"/>
      <c r="J619" s="129"/>
      <c r="K619" s="129"/>
      <c r="L619" s="127"/>
      <c r="M619" s="129"/>
      <c r="N619" s="129"/>
      <c r="O619" s="129"/>
      <c r="P619" s="309"/>
      <c r="Q619" s="309"/>
      <c r="R619" s="309"/>
      <c r="S619" s="309"/>
    </row>
    <row r="620" spans="1:19" x14ac:dyDescent="0.25">
      <c r="A620" s="127">
        <v>5</v>
      </c>
      <c r="B620" s="127">
        <v>2</v>
      </c>
      <c r="C620" s="127">
        <v>8</v>
      </c>
      <c r="D620" s="127">
        <v>2</v>
      </c>
      <c r="E620" s="127"/>
      <c r="F620" s="127" t="s">
        <v>500</v>
      </c>
      <c r="G620" s="127"/>
      <c r="H620" s="129"/>
      <c r="I620" s="127"/>
      <c r="J620" s="129"/>
      <c r="K620" s="129"/>
      <c r="L620" s="127"/>
      <c r="M620" s="129"/>
      <c r="N620" s="129"/>
      <c r="O620" s="129"/>
      <c r="P620" s="309"/>
      <c r="Q620" s="309"/>
      <c r="R620" s="309"/>
      <c r="S620" s="309"/>
    </row>
    <row r="621" spans="1:19" ht="24" x14ac:dyDescent="0.25">
      <c r="A621" s="127">
        <v>5</v>
      </c>
      <c r="B621" s="127">
        <v>2</v>
      </c>
      <c r="C621" s="127">
        <v>8</v>
      </c>
      <c r="D621" s="127">
        <v>3</v>
      </c>
      <c r="E621" s="127"/>
      <c r="F621" s="127" t="s">
        <v>501</v>
      </c>
      <c r="G621" s="127"/>
      <c r="H621" s="129"/>
      <c r="I621" s="127"/>
      <c r="J621" s="129"/>
      <c r="K621" s="129"/>
      <c r="L621" s="127"/>
      <c r="M621" s="129"/>
      <c r="N621" s="129"/>
      <c r="O621" s="129"/>
      <c r="P621" s="309"/>
      <c r="Q621" s="309"/>
      <c r="R621" s="309"/>
      <c r="S621" s="309"/>
    </row>
    <row r="622" spans="1:19" ht="24" x14ac:dyDescent="0.25">
      <c r="A622" s="127">
        <v>5</v>
      </c>
      <c r="B622" s="127">
        <v>2</v>
      </c>
      <c r="C622" s="127">
        <v>8</v>
      </c>
      <c r="D622" s="127">
        <v>4</v>
      </c>
      <c r="E622" s="127"/>
      <c r="F622" s="127" t="s">
        <v>502</v>
      </c>
      <c r="G622" s="127"/>
      <c r="H622" s="129"/>
      <c r="I622" s="127"/>
      <c r="J622" s="129"/>
      <c r="K622" s="129"/>
      <c r="L622" s="127"/>
      <c r="M622" s="129"/>
      <c r="N622" s="129"/>
      <c r="O622" s="129"/>
      <c r="P622" s="309"/>
      <c r="Q622" s="309"/>
      <c r="R622" s="309"/>
      <c r="S622" s="309"/>
    </row>
    <row r="623" spans="1:19" x14ac:dyDescent="0.25">
      <c r="A623" s="127">
        <v>5</v>
      </c>
      <c r="B623" s="127">
        <v>2</v>
      </c>
      <c r="C623" s="127">
        <v>8</v>
      </c>
      <c r="D623" s="127">
        <v>5</v>
      </c>
      <c r="E623" s="127"/>
      <c r="F623" s="127" t="s">
        <v>503</v>
      </c>
      <c r="G623" s="127"/>
      <c r="H623" s="129"/>
      <c r="I623" s="127"/>
      <c r="J623" s="129"/>
      <c r="K623" s="129"/>
      <c r="L623" s="127"/>
      <c r="M623" s="129"/>
      <c r="N623" s="129"/>
      <c r="O623" s="129"/>
      <c r="P623" s="309"/>
      <c r="Q623" s="309"/>
      <c r="R623" s="309"/>
      <c r="S623" s="309"/>
    </row>
    <row r="624" spans="1:19" x14ac:dyDescent="0.25">
      <c r="A624" s="127">
        <v>5</v>
      </c>
      <c r="B624" s="127">
        <v>2</v>
      </c>
      <c r="C624" s="127">
        <v>9</v>
      </c>
      <c r="D624" s="127"/>
      <c r="E624" s="127"/>
      <c r="F624" s="128" t="s">
        <v>74</v>
      </c>
      <c r="G624" s="128"/>
      <c r="H624" s="129"/>
      <c r="I624" s="128"/>
      <c r="J624" s="129"/>
      <c r="K624" s="129"/>
      <c r="L624" s="128"/>
      <c r="M624" s="129"/>
      <c r="N624" s="129"/>
      <c r="O624" s="129"/>
      <c r="P624" s="309"/>
      <c r="Q624" s="309"/>
      <c r="R624" s="309"/>
      <c r="S624" s="309"/>
    </row>
    <row r="625" spans="1:19" ht="24" x14ac:dyDescent="0.25">
      <c r="A625" s="127">
        <v>5</v>
      </c>
      <c r="B625" s="127">
        <v>2</v>
      </c>
      <c r="C625" s="127">
        <v>9</v>
      </c>
      <c r="D625" s="127">
        <v>1</v>
      </c>
      <c r="E625" s="127"/>
      <c r="F625" s="127" t="s">
        <v>504</v>
      </c>
      <c r="G625" s="127"/>
      <c r="H625" s="129"/>
      <c r="I625" s="127"/>
      <c r="J625" s="129"/>
      <c r="K625" s="129"/>
      <c r="L625" s="127"/>
      <c r="M625" s="129"/>
      <c r="N625" s="129"/>
      <c r="O625" s="129"/>
      <c r="P625" s="309"/>
      <c r="Q625" s="309"/>
      <c r="R625" s="309"/>
      <c r="S625" s="309"/>
    </row>
    <row r="626" spans="1:19" x14ac:dyDescent="0.25">
      <c r="A626" s="127">
        <v>5</v>
      </c>
      <c r="B626" s="127">
        <v>2</v>
      </c>
      <c r="C626" s="127">
        <v>9</v>
      </c>
      <c r="D626" s="127">
        <v>2</v>
      </c>
      <c r="E626" s="127"/>
      <c r="F626" s="127" t="s">
        <v>505</v>
      </c>
      <c r="G626" s="127"/>
      <c r="H626" s="129"/>
      <c r="I626" s="127"/>
      <c r="J626" s="129"/>
      <c r="K626" s="129"/>
      <c r="L626" s="127"/>
      <c r="M626" s="129"/>
      <c r="N626" s="129"/>
      <c r="O626" s="129"/>
      <c r="P626" s="309"/>
      <c r="Q626" s="309"/>
      <c r="R626" s="309"/>
      <c r="S626" s="309"/>
    </row>
    <row r="627" spans="1:19" x14ac:dyDescent="0.25">
      <c r="A627" s="126">
        <v>5</v>
      </c>
      <c r="B627" s="126">
        <v>3</v>
      </c>
      <c r="C627" s="126"/>
      <c r="D627" s="126"/>
      <c r="E627" s="126"/>
      <c r="F627" s="126" t="s">
        <v>506</v>
      </c>
      <c r="G627" s="126"/>
      <c r="H627" s="129"/>
      <c r="I627" s="126"/>
      <c r="J627" s="129"/>
      <c r="K627" s="129"/>
      <c r="L627" s="126"/>
      <c r="M627" s="129"/>
      <c r="N627" s="129"/>
      <c r="O627" s="129"/>
      <c r="P627" s="309"/>
      <c r="Q627" s="309"/>
      <c r="R627" s="309"/>
      <c r="S627" s="309"/>
    </row>
    <row r="628" spans="1:19" x14ac:dyDescent="0.25">
      <c r="A628" s="127">
        <v>5</v>
      </c>
      <c r="B628" s="127">
        <v>3</v>
      </c>
      <c r="C628" s="127">
        <v>1</v>
      </c>
      <c r="D628" s="127"/>
      <c r="E628" s="127"/>
      <c r="F628" s="128" t="s">
        <v>75</v>
      </c>
      <c r="G628" s="128"/>
      <c r="H628" s="129"/>
      <c r="I628" s="128"/>
      <c r="J628" s="129"/>
      <c r="K628" s="129"/>
      <c r="L628" s="128"/>
      <c r="M628" s="129"/>
      <c r="N628" s="129"/>
      <c r="O628" s="129"/>
      <c r="P628" s="309"/>
      <c r="Q628" s="309"/>
      <c r="R628" s="309"/>
      <c r="S628" s="309"/>
    </row>
    <row r="629" spans="1:19" ht="24" x14ac:dyDescent="0.25">
      <c r="A629" s="127">
        <v>5</v>
      </c>
      <c r="B629" s="127">
        <v>3</v>
      </c>
      <c r="C629" s="127">
        <v>1</v>
      </c>
      <c r="D629" s="127">
        <v>1</v>
      </c>
      <c r="E629" s="127"/>
      <c r="F629" s="127" t="s">
        <v>507</v>
      </c>
      <c r="G629" s="127"/>
      <c r="H629" s="129"/>
      <c r="I629" s="127"/>
      <c r="J629" s="129"/>
      <c r="K629" s="129"/>
      <c r="L629" s="127"/>
      <c r="M629" s="129"/>
      <c r="N629" s="129"/>
      <c r="O629" s="129"/>
      <c r="P629" s="309"/>
      <c r="Q629" s="309"/>
      <c r="R629" s="309"/>
      <c r="S629" s="309"/>
    </row>
    <row r="630" spans="1:19" ht="24" x14ac:dyDescent="0.25">
      <c r="A630" s="127">
        <v>5</v>
      </c>
      <c r="B630" s="127">
        <v>3</v>
      </c>
      <c r="C630" s="127">
        <v>1</v>
      </c>
      <c r="D630" s="127">
        <v>2</v>
      </c>
      <c r="E630" s="127"/>
      <c r="F630" s="127" t="s">
        <v>508</v>
      </c>
      <c r="G630" s="127"/>
      <c r="H630" s="129"/>
      <c r="I630" s="127"/>
      <c r="J630" s="129"/>
      <c r="K630" s="129"/>
      <c r="L630" s="127"/>
      <c r="M630" s="129"/>
      <c r="N630" s="129"/>
      <c r="O630" s="129"/>
      <c r="P630" s="309"/>
      <c r="Q630" s="309"/>
      <c r="R630" s="309"/>
      <c r="S630" s="309"/>
    </row>
    <row r="631" spans="1:19" x14ac:dyDescent="0.25">
      <c r="A631" s="127">
        <v>5</v>
      </c>
      <c r="B631" s="127">
        <v>3</v>
      </c>
      <c r="C631" s="127">
        <v>2</v>
      </c>
      <c r="D631" s="127"/>
      <c r="E631" s="127"/>
      <c r="F631" s="128" t="s">
        <v>76</v>
      </c>
      <c r="G631" s="128"/>
      <c r="H631" s="129"/>
      <c r="I631" s="128"/>
      <c r="J631" s="129"/>
      <c r="K631" s="129"/>
      <c r="L631" s="128"/>
      <c r="M631" s="129"/>
      <c r="N631" s="129"/>
      <c r="O631" s="129"/>
      <c r="P631" s="309"/>
      <c r="Q631" s="309"/>
      <c r="R631" s="309"/>
      <c r="S631" s="309"/>
    </row>
    <row r="632" spans="1:19" ht="24" x14ac:dyDescent="0.25">
      <c r="A632" s="127">
        <v>5</v>
      </c>
      <c r="B632" s="127">
        <v>3</v>
      </c>
      <c r="C632" s="127">
        <v>2</v>
      </c>
      <c r="D632" s="127">
        <v>1</v>
      </c>
      <c r="E632" s="127"/>
      <c r="F632" s="127" t="s">
        <v>509</v>
      </c>
      <c r="G632" s="127"/>
      <c r="H632" s="129"/>
      <c r="I632" s="127"/>
      <c r="J632" s="129"/>
      <c r="K632" s="129"/>
      <c r="L632" s="127"/>
      <c r="M632" s="129"/>
      <c r="N632" s="129"/>
      <c r="O632" s="129"/>
      <c r="P632" s="309"/>
      <c r="Q632" s="309"/>
      <c r="R632" s="309"/>
      <c r="S632" s="309"/>
    </row>
    <row r="633" spans="1:19" ht="24" x14ac:dyDescent="0.25">
      <c r="A633" s="127">
        <v>5</v>
      </c>
      <c r="B633" s="127">
        <v>3</v>
      </c>
      <c r="C633" s="127">
        <v>2</v>
      </c>
      <c r="D633" s="127">
        <v>2</v>
      </c>
      <c r="E633" s="127"/>
      <c r="F633" s="127" t="s">
        <v>510</v>
      </c>
      <c r="G633" s="127"/>
      <c r="H633" s="129"/>
      <c r="I633" s="127"/>
      <c r="J633" s="129"/>
      <c r="K633" s="129"/>
      <c r="L633" s="127"/>
      <c r="M633" s="129"/>
      <c r="N633" s="129"/>
      <c r="O633" s="129"/>
      <c r="P633" s="309"/>
      <c r="Q633" s="309"/>
      <c r="R633" s="309"/>
      <c r="S633" s="309"/>
    </row>
    <row r="634" spans="1:19" x14ac:dyDescent="0.25">
      <c r="A634" s="127">
        <v>5</v>
      </c>
      <c r="B634" s="127">
        <v>3</v>
      </c>
      <c r="C634" s="127">
        <v>3</v>
      </c>
      <c r="D634" s="127"/>
      <c r="E634" s="127"/>
      <c r="F634" s="128" t="s">
        <v>77</v>
      </c>
      <c r="G634" s="128"/>
      <c r="H634" s="129"/>
      <c r="I634" s="128"/>
      <c r="J634" s="129"/>
      <c r="K634" s="129"/>
      <c r="L634" s="128"/>
      <c r="M634" s="129"/>
      <c r="N634" s="129"/>
      <c r="O634" s="129"/>
      <c r="P634" s="309"/>
      <c r="Q634" s="309"/>
      <c r="R634" s="309"/>
      <c r="S634" s="309"/>
    </row>
    <row r="635" spans="1:19" x14ac:dyDescent="0.25">
      <c r="A635" s="127">
        <v>5</v>
      </c>
      <c r="B635" s="127">
        <v>3</v>
      </c>
      <c r="C635" s="127">
        <v>3</v>
      </c>
      <c r="D635" s="127">
        <v>1</v>
      </c>
      <c r="E635" s="127"/>
      <c r="F635" s="127" t="s">
        <v>511</v>
      </c>
      <c r="G635" s="127"/>
      <c r="H635" s="129"/>
      <c r="I635" s="127"/>
      <c r="J635" s="129"/>
      <c r="K635" s="129"/>
      <c r="L635" s="127"/>
      <c r="M635" s="129"/>
      <c r="N635" s="129"/>
      <c r="O635" s="129"/>
      <c r="P635" s="309"/>
      <c r="Q635" s="309"/>
      <c r="R635" s="309"/>
      <c r="S635" s="309"/>
    </row>
    <row r="636" spans="1:19" x14ac:dyDescent="0.25">
      <c r="A636" s="127">
        <v>5</v>
      </c>
      <c r="B636" s="127">
        <v>3</v>
      </c>
      <c r="C636" s="127">
        <v>3</v>
      </c>
      <c r="D636" s="127">
        <v>2</v>
      </c>
      <c r="E636" s="127"/>
      <c r="F636" s="127" t="s">
        <v>512</v>
      </c>
      <c r="G636" s="127"/>
      <c r="H636" s="129"/>
      <c r="I636" s="127"/>
      <c r="J636" s="129"/>
      <c r="K636" s="129"/>
      <c r="L636" s="127"/>
      <c r="M636" s="129"/>
      <c r="N636" s="129"/>
      <c r="O636" s="129"/>
      <c r="P636" s="309"/>
      <c r="Q636" s="309"/>
      <c r="R636" s="309"/>
      <c r="S636" s="309"/>
    </row>
    <row r="637" spans="1:19" ht="24" x14ac:dyDescent="0.25">
      <c r="A637" s="126">
        <v>5</v>
      </c>
      <c r="B637" s="126">
        <v>4</v>
      </c>
      <c r="C637" s="126"/>
      <c r="D637" s="126"/>
      <c r="E637" s="126"/>
      <c r="F637" s="126" t="s">
        <v>513</v>
      </c>
      <c r="G637" s="126"/>
      <c r="H637" s="129"/>
      <c r="I637" s="126"/>
      <c r="J637" s="129"/>
      <c r="K637" s="129"/>
      <c r="L637" s="126"/>
      <c r="M637" s="129"/>
      <c r="N637" s="129"/>
      <c r="O637" s="129"/>
      <c r="P637" s="309"/>
      <c r="Q637" s="309"/>
      <c r="R637" s="309"/>
      <c r="S637" s="309"/>
    </row>
    <row r="638" spans="1:19" x14ac:dyDescent="0.25">
      <c r="A638" s="127">
        <v>5</v>
      </c>
      <c r="B638" s="127">
        <v>4</v>
      </c>
      <c r="C638" s="127">
        <v>1</v>
      </c>
      <c r="D638" s="127"/>
      <c r="E638" s="127"/>
      <c r="F638" s="128" t="s">
        <v>79</v>
      </c>
      <c r="G638" s="128"/>
      <c r="H638" s="129"/>
      <c r="I638" s="128"/>
      <c r="J638" s="129"/>
      <c r="K638" s="129"/>
      <c r="L638" s="128"/>
      <c r="M638" s="129"/>
      <c r="N638" s="129"/>
      <c r="O638" s="129"/>
      <c r="P638" s="309"/>
      <c r="Q638" s="309"/>
      <c r="R638" s="309"/>
      <c r="S638" s="309"/>
    </row>
    <row r="639" spans="1:19" x14ac:dyDescent="0.25">
      <c r="A639" s="127">
        <v>5</v>
      </c>
      <c r="B639" s="127">
        <v>4</v>
      </c>
      <c r="C639" s="127">
        <v>1</v>
      </c>
      <c r="D639" s="127">
        <v>1</v>
      </c>
      <c r="E639" s="127"/>
      <c r="F639" s="127" t="s">
        <v>514</v>
      </c>
      <c r="G639" s="127"/>
      <c r="H639" s="129"/>
      <c r="I639" s="127"/>
      <c r="J639" s="129"/>
      <c r="K639" s="129"/>
      <c r="L639" s="127"/>
      <c r="M639" s="129"/>
      <c r="N639" s="129"/>
      <c r="O639" s="129"/>
      <c r="P639" s="309"/>
      <c r="Q639" s="309"/>
      <c r="R639" s="309"/>
      <c r="S639" s="309"/>
    </row>
    <row r="640" spans="1:19" x14ac:dyDescent="0.25">
      <c r="A640" s="127">
        <v>5</v>
      </c>
      <c r="B640" s="127">
        <v>4</v>
      </c>
      <c r="C640" s="127">
        <v>1</v>
      </c>
      <c r="D640" s="127">
        <v>2</v>
      </c>
      <c r="E640" s="127"/>
      <c r="F640" s="127" t="s">
        <v>515</v>
      </c>
      <c r="G640" s="127"/>
      <c r="H640" s="129"/>
      <c r="I640" s="127"/>
      <c r="J640" s="129"/>
      <c r="K640" s="129"/>
      <c r="L640" s="127"/>
      <c r="M640" s="129"/>
      <c r="N640" s="129"/>
      <c r="O640" s="129"/>
      <c r="P640" s="309"/>
      <c r="Q640" s="309"/>
      <c r="R640" s="309"/>
      <c r="S640" s="309"/>
    </row>
    <row r="641" spans="1:19" x14ac:dyDescent="0.25">
      <c r="A641" s="127">
        <v>5</v>
      </c>
      <c r="B641" s="127">
        <v>4</v>
      </c>
      <c r="C641" s="127">
        <v>2</v>
      </c>
      <c r="D641" s="127"/>
      <c r="E641" s="127"/>
      <c r="F641" s="128" t="s">
        <v>80</v>
      </c>
      <c r="G641" s="128"/>
      <c r="H641" s="129"/>
      <c r="I641" s="128"/>
      <c r="J641" s="129"/>
      <c r="K641" s="129"/>
      <c r="L641" s="128"/>
      <c r="M641" s="129"/>
      <c r="N641" s="129"/>
      <c r="O641" s="129"/>
      <c r="P641" s="309"/>
      <c r="Q641" s="309"/>
      <c r="R641" s="309"/>
      <c r="S641" s="309"/>
    </row>
    <row r="642" spans="1:19" x14ac:dyDescent="0.25">
      <c r="A642" s="127">
        <v>5</v>
      </c>
      <c r="B642" s="127">
        <v>4</v>
      </c>
      <c r="C642" s="127">
        <v>2</v>
      </c>
      <c r="D642" s="127">
        <v>1</v>
      </c>
      <c r="E642" s="127"/>
      <c r="F642" s="127" t="s">
        <v>516</v>
      </c>
      <c r="G642" s="127"/>
      <c r="H642" s="129"/>
      <c r="I642" s="127"/>
      <c r="J642" s="129"/>
      <c r="K642" s="129"/>
      <c r="L642" s="127"/>
      <c r="M642" s="129"/>
      <c r="N642" s="129"/>
      <c r="O642" s="129"/>
      <c r="P642" s="309"/>
      <c r="Q642" s="309"/>
      <c r="R642" s="309"/>
      <c r="S642" s="309"/>
    </row>
    <row r="643" spans="1:19" x14ac:dyDescent="0.25">
      <c r="A643" s="127">
        <v>5</v>
      </c>
      <c r="B643" s="127">
        <v>4</v>
      </c>
      <c r="C643" s="127">
        <v>2</v>
      </c>
      <c r="D643" s="127">
        <v>2</v>
      </c>
      <c r="E643" s="127"/>
      <c r="F643" s="127" t="s">
        <v>517</v>
      </c>
      <c r="G643" s="127"/>
      <c r="H643" s="129"/>
      <c r="I643" s="127"/>
      <c r="J643" s="129"/>
      <c r="K643" s="129"/>
      <c r="L643" s="127"/>
      <c r="M643" s="129"/>
      <c r="N643" s="129"/>
      <c r="O643" s="129"/>
      <c r="P643" s="309"/>
      <c r="Q643" s="309"/>
      <c r="R643" s="309"/>
      <c r="S643" s="309"/>
    </row>
    <row r="644" spans="1:19" x14ac:dyDescent="0.25">
      <c r="A644" s="127">
        <v>5</v>
      </c>
      <c r="B644" s="127">
        <v>4</v>
      </c>
      <c r="C644" s="127">
        <v>3</v>
      </c>
      <c r="D644" s="127"/>
      <c r="E644" s="127"/>
      <c r="F644" s="128" t="s">
        <v>81</v>
      </c>
      <c r="G644" s="128"/>
      <c r="H644" s="129"/>
      <c r="I644" s="128"/>
      <c r="J644" s="129"/>
      <c r="K644" s="129"/>
      <c r="L644" s="128"/>
      <c r="M644" s="129"/>
      <c r="N644" s="129"/>
      <c r="O644" s="129"/>
      <c r="P644" s="309"/>
      <c r="Q644" s="309"/>
      <c r="R644" s="309"/>
      <c r="S644" s="309"/>
    </row>
    <row r="645" spans="1:19" x14ac:dyDescent="0.25">
      <c r="A645" s="127">
        <v>5</v>
      </c>
      <c r="B645" s="127">
        <v>4</v>
      </c>
      <c r="C645" s="127">
        <v>3</v>
      </c>
      <c r="D645" s="127">
        <v>1</v>
      </c>
      <c r="E645" s="127"/>
      <c r="F645" s="127" t="s">
        <v>518</v>
      </c>
      <c r="G645" s="127"/>
      <c r="H645" s="129"/>
      <c r="I645" s="127"/>
      <c r="J645" s="129"/>
      <c r="K645" s="129"/>
      <c r="L645" s="127"/>
      <c r="M645" s="129"/>
      <c r="N645" s="129"/>
      <c r="O645" s="129"/>
      <c r="P645" s="309"/>
      <c r="Q645" s="309"/>
      <c r="R645" s="309"/>
      <c r="S645" s="309"/>
    </row>
    <row r="646" spans="1:19" x14ac:dyDescent="0.25">
      <c r="A646" s="127">
        <v>5</v>
      </c>
      <c r="B646" s="127">
        <v>4</v>
      </c>
      <c r="C646" s="127">
        <v>3</v>
      </c>
      <c r="D646" s="127">
        <v>2</v>
      </c>
      <c r="E646" s="127"/>
      <c r="F646" s="127" t="s">
        <v>519</v>
      </c>
      <c r="G646" s="127"/>
      <c r="H646" s="129"/>
      <c r="I646" s="127"/>
      <c r="J646" s="129"/>
      <c r="K646" s="129"/>
      <c r="L646" s="127"/>
      <c r="M646" s="129"/>
      <c r="N646" s="129"/>
      <c r="O646" s="129"/>
      <c r="P646" s="309"/>
      <c r="Q646" s="309"/>
      <c r="R646" s="309"/>
      <c r="S646" s="309"/>
    </row>
    <row r="647" spans="1:19" x14ac:dyDescent="0.25">
      <c r="A647" s="127">
        <v>5</v>
      </c>
      <c r="B647" s="127">
        <v>4</v>
      </c>
      <c r="C647" s="127">
        <v>4</v>
      </c>
      <c r="D647" s="127"/>
      <c r="E647" s="127"/>
      <c r="F647" s="128" t="s">
        <v>82</v>
      </c>
      <c r="G647" s="128"/>
      <c r="H647" s="129"/>
      <c r="I647" s="128"/>
      <c r="J647" s="129"/>
      <c r="K647" s="129"/>
      <c r="L647" s="128"/>
      <c r="M647" s="129"/>
      <c r="N647" s="129"/>
      <c r="O647" s="129"/>
      <c r="P647" s="309"/>
      <c r="Q647" s="309"/>
      <c r="R647" s="309"/>
      <c r="S647" s="309"/>
    </row>
    <row r="648" spans="1:19" x14ac:dyDescent="0.25">
      <c r="A648" s="127">
        <v>5</v>
      </c>
      <c r="B648" s="127">
        <v>4</v>
      </c>
      <c r="C648" s="127">
        <v>4</v>
      </c>
      <c r="D648" s="127">
        <v>1</v>
      </c>
      <c r="E648" s="127"/>
      <c r="F648" s="127" t="s">
        <v>82</v>
      </c>
      <c r="G648" s="127"/>
      <c r="H648" s="129"/>
      <c r="I648" s="127"/>
      <c r="J648" s="129"/>
      <c r="K648" s="129"/>
      <c r="L648" s="127"/>
      <c r="M648" s="129"/>
      <c r="N648" s="129"/>
      <c r="O648" s="129"/>
      <c r="P648" s="309"/>
      <c r="Q648" s="309"/>
      <c r="R648" s="309"/>
      <c r="S648" s="309"/>
    </row>
    <row r="649" spans="1:19" x14ac:dyDescent="0.25">
      <c r="A649" s="127">
        <v>5</v>
      </c>
      <c r="B649" s="127">
        <v>4</v>
      </c>
      <c r="C649" s="127">
        <v>5</v>
      </c>
      <c r="D649" s="127"/>
      <c r="E649" s="127"/>
      <c r="F649" s="128" t="s">
        <v>83</v>
      </c>
      <c r="G649" s="128"/>
      <c r="H649" s="129"/>
      <c r="I649" s="128"/>
      <c r="J649" s="129"/>
      <c r="K649" s="129"/>
      <c r="L649" s="128"/>
      <c r="M649" s="129"/>
      <c r="N649" s="129"/>
      <c r="O649" s="129"/>
      <c r="P649" s="309"/>
      <c r="Q649" s="309"/>
      <c r="R649" s="309"/>
      <c r="S649" s="309"/>
    </row>
    <row r="650" spans="1:19" x14ac:dyDescent="0.25">
      <c r="A650" s="127">
        <v>5</v>
      </c>
      <c r="B650" s="127">
        <v>4</v>
      </c>
      <c r="C650" s="127">
        <v>5</v>
      </c>
      <c r="D650" s="127">
        <v>1</v>
      </c>
      <c r="E650" s="127"/>
      <c r="F650" s="127" t="s">
        <v>520</v>
      </c>
      <c r="G650" s="127"/>
      <c r="H650" s="129"/>
      <c r="I650" s="127"/>
      <c r="J650" s="129"/>
      <c r="K650" s="129"/>
      <c r="L650" s="127"/>
      <c r="M650" s="129"/>
      <c r="N650" s="129"/>
      <c r="O650" s="129"/>
      <c r="P650" s="309"/>
      <c r="Q650" s="309"/>
      <c r="R650" s="309"/>
      <c r="S650" s="309"/>
    </row>
    <row r="651" spans="1:19" ht="24" x14ac:dyDescent="0.25">
      <c r="A651" s="127">
        <v>5</v>
      </c>
      <c r="B651" s="127">
        <v>4</v>
      </c>
      <c r="C651" s="127">
        <v>5</v>
      </c>
      <c r="D651" s="127">
        <v>2</v>
      </c>
      <c r="E651" s="127"/>
      <c r="F651" s="127" t="s">
        <v>521</v>
      </c>
      <c r="G651" s="127"/>
      <c r="H651" s="129"/>
      <c r="I651" s="127"/>
      <c r="J651" s="129"/>
      <c r="K651" s="129"/>
      <c r="L651" s="127"/>
      <c r="M651" s="129"/>
      <c r="N651" s="129"/>
      <c r="O651" s="129"/>
      <c r="P651" s="309"/>
      <c r="Q651" s="309"/>
      <c r="R651" s="309"/>
      <c r="S651" s="309"/>
    </row>
    <row r="652" spans="1:19" ht="24" x14ac:dyDescent="0.25">
      <c r="A652" s="137">
        <v>5</v>
      </c>
      <c r="B652" s="137">
        <v>5</v>
      </c>
      <c r="C652" s="137"/>
      <c r="D652" s="137"/>
      <c r="E652" s="137"/>
      <c r="F652" s="137" t="s">
        <v>522</v>
      </c>
      <c r="G652" s="131">
        <f t="shared" ref="G652:J652" si="209">+G653+G661+G664+G670+G672+G674</f>
        <v>0</v>
      </c>
      <c r="H652" s="131">
        <f t="shared" si="209"/>
        <v>178500</v>
      </c>
      <c r="I652" s="131">
        <f t="shared" si="209"/>
        <v>0</v>
      </c>
      <c r="J652" s="131">
        <f t="shared" si="209"/>
        <v>178500</v>
      </c>
      <c r="K652" s="131"/>
      <c r="L652" s="131">
        <f t="shared" ref="L652" si="210">+L653+L661+L664+L670+L672+L674</f>
        <v>139700</v>
      </c>
      <c r="M652" s="131"/>
      <c r="N652" s="131"/>
      <c r="O652" s="131">
        <f t="shared" ref="O652" si="211">+O653+O661+O664+O670+O672+O674</f>
        <v>0</v>
      </c>
      <c r="P652" s="309"/>
      <c r="Q652" s="309"/>
      <c r="R652" s="309"/>
      <c r="S652" s="309"/>
    </row>
    <row r="653" spans="1:19" ht="24" x14ac:dyDescent="0.25">
      <c r="A653" s="127">
        <v>5</v>
      </c>
      <c r="B653" s="127">
        <v>5</v>
      </c>
      <c r="C653" s="127">
        <v>1</v>
      </c>
      <c r="D653" s="127"/>
      <c r="E653" s="127"/>
      <c r="F653" s="128" t="s">
        <v>85</v>
      </c>
      <c r="G653" s="128"/>
      <c r="H653" s="129"/>
      <c r="I653" s="128"/>
      <c r="J653" s="129"/>
      <c r="K653" s="129"/>
      <c r="L653" s="128"/>
      <c r="M653" s="129"/>
      <c r="N653" s="129"/>
      <c r="O653" s="129"/>
      <c r="P653" s="309"/>
      <c r="Q653" s="309"/>
      <c r="R653" s="309"/>
      <c r="S653" s="309"/>
    </row>
    <row r="654" spans="1:19" ht="24" x14ac:dyDescent="0.25">
      <c r="A654" s="127">
        <v>5</v>
      </c>
      <c r="B654" s="127">
        <v>5</v>
      </c>
      <c r="C654" s="127">
        <v>1</v>
      </c>
      <c r="D654" s="127">
        <v>1</v>
      </c>
      <c r="E654" s="127"/>
      <c r="F654" s="127" t="s">
        <v>523</v>
      </c>
      <c r="G654" s="127"/>
      <c r="H654" s="129"/>
      <c r="I654" s="127"/>
      <c r="J654" s="129"/>
      <c r="K654" s="129"/>
      <c r="L654" s="127"/>
      <c r="M654" s="129"/>
      <c r="N654" s="129"/>
      <c r="O654" s="129"/>
      <c r="P654" s="309"/>
      <c r="Q654" s="309"/>
      <c r="R654" s="309"/>
      <c r="S654" s="309"/>
    </row>
    <row r="655" spans="1:19" ht="24" x14ac:dyDescent="0.25">
      <c r="A655" s="127">
        <v>5</v>
      </c>
      <c r="B655" s="127">
        <v>5</v>
      </c>
      <c r="C655" s="127">
        <v>1</v>
      </c>
      <c r="D655" s="127">
        <v>2</v>
      </c>
      <c r="E655" s="127"/>
      <c r="F655" s="127" t="s">
        <v>524</v>
      </c>
      <c r="G655" s="127"/>
      <c r="H655" s="129"/>
      <c r="I655" s="127"/>
      <c r="J655" s="129"/>
      <c r="K655" s="129"/>
      <c r="L655" s="127"/>
      <c r="M655" s="129"/>
      <c r="N655" s="129"/>
      <c r="O655" s="129"/>
      <c r="P655" s="309"/>
      <c r="Q655" s="309"/>
      <c r="R655" s="309"/>
      <c r="S655" s="309"/>
    </row>
    <row r="656" spans="1:19" x14ac:dyDescent="0.25">
      <c r="A656" s="127">
        <v>5</v>
      </c>
      <c r="B656" s="127">
        <v>5</v>
      </c>
      <c r="C656" s="127">
        <v>1</v>
      </c>
      <c r="D656" s="127">
        <v>3</v>
      </c>
      <c r="E656" s="127"/>
      <c r="F656" s="127" t="s">
        <v>525</v>
      </c>
      <c r="G656" s="127"/>
      <c r="H656" s="129"/>
      <c r="I656" s="127"/>
      <c r="J656" s="129"/>
      <c r="K656" s="129"/>
      <c r="L656" s="127"/>
      <c r="M656" s="129"/>
      <c r="N656" s="129"/>
      <c r="O656" s="129"/>
      <c r="P656" s="309"/>
      <c r="Q656" s="309"/>
      <c r="R656" s="309"/>
      <c r="S656" s="309"/>
    </row>
    <row r="657" spans="1:19" x14ac:dyDescent="0.25">
      <c r="A657" s="127">
        <v>5</v>
      </c>
      <c r="B657" s="127">
        <v>5</v>
      </c>
      <c r="C657" s="127">
        <v>1</v>
      </c>
      <c r="D657" s="127">
        <v>4</v>
      </c>
      <c r="E657" s="127"/>
      <c r="F657" s="127" t="s">
        <v>526</v>
      </c>
      <c r="G657" s="127"/>
      <c r="H657" s="129"/>
      <c r="I657" s="127"/>
      <c r="J657" s="129"/>
      <c r="K657" s="129"/>
      <c r="L657" s="127"/>
      <c r="M657" s="129"/>
      <c r="N657" s="129"/>
      <c r="O657" s="129"/>
      <c r="P657" s="309"/>
      <c r="Q657" s="309"/>
      <c r="R657" s="309"/>
      <c r="S657" s="309"/>
    </row>
    <row r="658" spans="1:19" x14ac:dyDescent="0.25">
      <c r="A658" s="127">
        <v>5</v>
      </c>
      <c r="B658" s="127">
        <v>5</v>
      </c>
      <c r="C658" s="127">
        <v>1</v>
      </c>
      <c r="D658" s="127">
        <v>5</v>
      </c>
      <c r="E658" s="127"/>
      <c r="F658" s="127" t="s">
        <v>527</v>
      </c>
      <c r="G658" s="127"/>
      <c r="H658" s="129"/>
      <c r="I658" s="127"/>
      <c r="J658" s="129"/>
      <c r="K658" s="129"/>
      <c r="L658" s="127"/>
      <c r="M658" s="129"/>
      <c r="N658" s="129"/>
      <c r="O658" s="129"/>
      <c r="P658" s="309"/>
      <c r="Q658" s="309"/>
      <c r="R658" s="309"/>
      <c r="S658" s="309"/>
    </row>
    <row r="659" spans="1:19" x14ac:dyDescent="0.25">
      <c r="A659" s="127">
        <v>5</v>
      </c>
      <c r="B659" s="127">
        <v>5</v>
      </c>
      <c r="C659" s="127">
        <v>1</v>
      </c>
      <c r="D659" s="127">
        <v>6</v>
      </c>
      <c r="E659" s="127"/>
      <c r="F659" s="127" t="s">
        <v>528</v>
      </c>
      <c r="G659" s="127"/>
      <c r="H659" s="129"/>
      <c r="I659" s="127"/>
      <c r="J659" s="129"/>
      <c r="K659" s="129"/>
      <c r="L659" s="127"/>
      <c r="M659" s="129"/>
      <c r="N659" s="129"/>
      <c r="O659" s="129"/>
      <c r="P659" s="309"/>
      <c r="Q659" s="309"/>
      <c r="R659" s="309"/>
      <c r="S659" s="309"/>
    </row>
    <row r="660" spans="1:19" x14ac:dyDescent="0.25">
      <c r="A660" s="127">
        <v>5</v>
      </c>
      <c r="B660" s="127">
        <v>5</v>
      </c>
      <c r="C660" s="127">
        <v>1</v>
      </c>
      <c r="D660" s="127">
        <v>7</v>
      </c>
      <c r="E660" s="127"/>
      <c r="F660" s="127" t="s">
        <v>529</v>
      </c>
      <c r="G660" s="127"/>
      <c r="H660" s="129"/>
      <c r="I660" s="127"/>
      <c r="J660" s="129"/>
      <c r="K660" s="129"/>
      <c r="L660" s="127"/>
      <c r="M660" s="129"/>
      <c r="N660" s="129"/>
      <c r="O660" s="129"/>
      <c r="P660" s="309"/>
      <c r="Q660" s="309"/>
      <c r="R660" s="309"/>
      <c r="S660" s="309"/>
    </row>
    <row r="661" spans="1:19" x14ac:dyDescent="0.25">
      <c r="A661" s="127">
        <v>5</v>
      </c>
      <c r="B661" s="127">
        <v>5</v>
      </c>
      <c r="C661" s="127">
        <v>2</v>
      </c>
      <c r="D661" s="127"/>
      <c r="E661" s="127"/>
      <c r="F661" s="128" t="s">
        <v>86</v>
      </c>
      <c r="G661" s="128"/>
      <c r="H661" s="129"/>
      <c r="I661" s="128"/>
      <c r="J661" s="129"/>
      <c r="K661" s="129"/>
      <c r="L661" s="128"/>
      <c r="M661" s="129"/>
      <c r="N661" s="129"/>
      <c r="O661" s="129"/>
      <c r="P661" s="309"/>
      <c r="Q661" s="309"/>
      <c r="R661" s="309"/>
      <c r="S661" s="309"/>
    </row>
    <row r="662" spans="1:19" x14ac:dyDescent="0.25">
      <c r="A662" s="127">
        <v>5</v>
      </c>
      <c r="B662" s="127">
        <v>5</v>
      </c>
      <c r="C662" s="127">
        <v>2</v>
      </c>
      <c r="D662" s="127">
        <v>1</v>
      </c>
      <c r="E662" s="127"/>
      <c r="F662" s="127" t="s">
        <v>530</v>
      </c>
      <c r="G662" s="127"/>
      <c r="H662" s="129"/>
      <c r="I662" s="127"/>
      <c r="J662" s="129"/>
      <c r="K662" s="129"/>
      <c r="L662" s="127"/>
      <c r="M662" s="129"/>
      <c r="N662" s="129"/>
      <c r="O662" s="129"/>
      <c r="P662" s="309"/>
      <c r="Q662" s="309"/>
      <c r="R662" s="309"/>
      <c r="S662" s="309"/>
    </row>
    <row r="663" spans="1:19" x14ac:dyDescent="0.25">
      <c r="A663" s="127">
        <v>5</v>
      </c>
      <c r="B663" s="127">
        <v>5</v>
      </c>
      <c r="C663" s="127">
        <v>2</v>
      </c>
      <c r="D663" s="127">
        <v>2</v>
      </c>
      <c r="E663" s="127"/>
      <c r="F663" s="127" t="s">
        <v>531</v>
      </c>
      <c r="G663" s="127"/>
      <c r="H663" s="129"/>
      <c r="I663" s="127"/>
      <c r="J663" s="129"/>
      <c r="K663" s="129"/>
      <c r="L663" s="127"/>
      <c r="M663" s="129"/>
      <c r="N663" s="129"/>
      <c r="O663" s="129"/>
      <c r="P663" s="309"/>
      <c r="Q663" s="309"/>
      <c r="R663" s="309"/>
      <c r="S663" s="309"/>
    </row>
    <row r="664" spans="1:19" x14ac:dyDescent="0.25">
      <c r="A664" s="127">
        <v>5</v>
      </c>
      <c r="B664" s="127">
        <v>5</v>
      </c>
      <c r="C664" s="127">
        <v>3</v>
      </c>
      <c r="D664" s="127"/>
      <c r="E664" s="127"/>
      <c r="F664" s="128" t="s">
        <v>87</v>
      </c>
      <c r="G664" s="128"/>
      <c r="H664" s="129"/>
      <c r="I664" s="128"/>
      <c r="J664" s="129"/>
      <c r="K664" s="129"/>
      <c r="L664" s="128"/>
      <c r="M664" s="129"/>
      <c r="N664" s="129"/>
      <c r="O664" s="129"/>
      <c r="P664" s="309"/>
      <c r="Q664" s="309"/>
      <c r="R664" s="309"/>
      <c r="S664" s="309"/>
    </row>
    <row r="665" spans="1:19" ht="24" x14ac:dyDescent="0.25">
      <c r="A665" s="127">
        <v>5</v>
      </c>
      <c r="B665" s="127">
        <v>5</v>
      </c>
      <c r="C665" s="127">
        <v>3</v>
      </c>
      <c r="D665" s="127">
        <v>1</v>
      </c>
      <c r="E665" s="127"/>
      <c r="F665" s="127" t="s">
        <v>532</v>
      </c>
      <c r="G665" s="127"/>
      <c r="H665" s="129"/>
      <c r="I665" s="127"/>
      <c r="J665" s="129"/>
      <c r="K665" s="129"/>
      <c r="L665" s="127"/>
      <c r="M665" s="129"/>
      <c r="N665" s="129"/>
      <c r="O665" s="129"/>
      <c r="P665" s="309"/>
      <c r="Q665" s="309"/>
      <c r="R665" s="309"/>
      <c r="S665" s="309"/>
    </row>
    <row r="666" spans="1:19" ht="24" x14ac:dyDescent="0.25">
      <c r="A666" s="127">
        <v>5</v>
      </c>
      <c r="B666" s="127">
        <v>5</v>
      </c>
      <c r="C666" s="127">
        <v>3</v>
      </c>
      <c r="D666" s="127">
        <v>2</v>
      </c>
      <c r="E666" s="127"/>
      <c r="F666" s="127" t="s">
        <v>533</v>
      </c>
      <c r="G666" s="127"/>
      <c r="H666" s="129"/>
      <c r="I666" s="127"/>
      <c r="J666" s="129"/>
      <c r="K666" s="129"/>
      <c r="L666" s="127"/>
      <c r="M666" s="129"/>
      <c r="N666" s="129"/>
      <c r="O666" s="129"/>
      <c r="P666" s="309"/>
      <c r="Q666" s="309"/>
      <c r="R666" s="309"/>
      <c r="S666" s="309"/>
    </row>
    <row r="667" spans="1:19" ht="24" x14ac:dyDescent="0.25">
      <c r="A667" s="127">
        <v>5</v>
      </c>
      <c r="B667" s="127">
        <v>5</v>
      </c>
      <c r="C667" s="127">
        <v>3</v>
      </c>
      <c r="D667" s="127">
        <v>3</v>
      </c>
      <c r="E667" s="127"/>
      <c r="F667" s="127" t="s">
        <v>534</v>
      </c>
      <c r="G667" s="127"/>
      <c r="H667" s="129"/>
      <c r="I667" s="127"/>
      <c r="J667" s="129"/>
      <c r="K667" s="129"/>
      <c r="L667" s="127"/>
      <c r="M667" s="129"/>
      <c r="N667" s="129"/>
      <c r="O667" s="129"/>
      <c r="P667" s="309"/>
      <c r="Q667" s="309"/>
      <c r="R667" s="309"/>
      <c r="S667" s="309"/>
    </row>
    <row r="668" spans="1:19" ht="24" x14ac:dyDescent="0.25">
      <c r="A668" s="127">
        <v>5</v>
      </c>
      <c r="B668" s="127">
        <v>5</v>
      </c>
      <c r="C668" s="127">
        <v>3</v>
      </c>
      <c r="D668" s="127">
        <v>4</v>
      </c>
      <c r="E668" s="127"/>
      <c r="F668" s="127" t="s">
        <v>535</v>
      </c>
      <c r="G668" s="127"/>
      <c r="H668" s="129"/>
      <c r="I668" s="127"/>
      <c r="J668" s="129"/>
      <c r="K668" s="129"/>
      <c r="L668" s="127"/>
      <c r="M668" s="129"/>
      <c r="N668" s="129"/>
      <c r="O668" s="129"/>
      <c r="P668" s="309"/>
      <c r="Q668" s="309"/>
      <c r="R668" s="309"/>
      <c r="S668" s="309"/>
    </row>
    <row r="669" spans="1:19" ht="24" x14ac:dyDescent="0.25">
      <c r="A669" s="127">
        <v>5</v>
      </c>
      <c r="B669" s="127">
        <v>5</v>
      </c>
      <c r="C669" s="127">
        <v>3</v>
      </c>
      <c r="D669" s="127">
        <v>5</v>
      </c>
      <c r="E669" s="127"/>
      <c r="F669" s="127" t="s">
        <v>536</v>
      </c>
      <c r="G669" s="127"/>
      <c r="H669" s="129"/>
      <c r="I669" s="127"/>
      <c r="J669" s="129"/>
      <c r="K669" s="129"/>
      <c r="L669" s="127"/>
      <c r="M669" s="129"/>
      <c r="N669" s="129"/>
      <c r="O669" s="129"/>
      <c r="P669" s="309"/>
      <c r="Q669" s="309"/>
      <c r="R669" s="309"/>
      <c r="S669" s="309"/>
    </row>
    <row r="670" spans="1:19" ht="24" x14ac:dyDescent="0.25">
      <c r="A670" s="127">
        <v>5</v>
      </c>
      <c r="B670" s="127">
        <v>5</v>
      </c>
      <c r="C670" s="127">
        <v>4</v>
      </c>
      <c r="D670" s="127"/>
      <c r="E670" s="127"/>
      <c r="F670" s="128" t="s">
        <v>537</v>
      </c>
      <c r="G670" s="128"/>
      <c r="H670" s="129"/>
      <c r="I670" s="128"/>
      <c r="J670" s="129"/>
      <c r="K670" s="129"/>
      <c r="L670" s="128"/>
      <c r="M670" s="129"/>
      <c r="N670" s="129"/>
      <c r="O670" s="129"/>
      <c r="P670" s="309"/>
      <c r="Q670" s="309"/>
      <c r="R670" s="309"/>
      <c r="S670" s="309"/>
    </row>
    <row r="671" spans="1:19" ht="24" x14ac:dyDescent="0.25">
      <c r="A671" s="127">
        <v>5</v>
      </c>
      <c r="B671" s="127">
        <v>5</v>
      </c>
      <c r="C671" s="127">
        <v>4</v>
      </c>
      <c r="D671" s="127">
        <v>1</v>
      </c>
      <c r="E671" s="127"/>
      <c r="F671" s="127" t="s">
        <v>537</v>
      </c>
      <c r="G671" s="127"/>
      <c r="H671" s="129"/>
      <c r="I671" s="127"/>
      <c r="J671" s="129"/>
      <c r="K671" s="129"/>
      <c r="L671" s="127"/>
      <c r="M671" s="129"/>
      <c r="N671" s="129"/>
      <c r="O671" s="129"/>
      <c r="P671" s="309"/>
      <c r="Q671" s="309"/>
      <c r="R671" s="309"/>
      <c r="S671" s="309"/>
    </row>
    <row r="672" spans="1:19" x14ac:dyDescent="0.25">
      <c r="A672" s="127">
        <v>5</v>
      </c>
      <c r="B672" s="127">
        <v>5</v>
      </c>
      <c r="C672" s="127">
        <v>5</v>
      </c>
      <c r="D672" s="127"/>
      <c r="E672" s="127"/>
      <c r="F672" s="128" t="s">
        <v>89</v>
      </c>
      <c r="G672" s="128"/>
      <c r="H672" s="129"/>
      <c r="I672" s="128"/>
      <c r="J672" s="129"/>
      <c r="K672" s="129"/>
      <c r="L672" s="128"/>
      <c r="M672" s="129"/>
      <c r="N672" s="129"/>
      <c r="O672" s="129"/>
      <c r="P672" s="309"/>
      <c r="Q672" s="309"/>
      <c r="R672" s="309"/>
      <c r="S672" s="309"/>
    </row>
    <row r="673" spans="1:19" x14ac:dyDescent="0.25">
      <c r="A673" s="127">
        <v>5</v>
      </c>
      <c r="B673" s="127">
        <v>5</v>
      </c>
      <c r="C673" s="127">
        <v>5</v>
      </c>
      <c r="D673" s="127">
        <v>1</v>
      </c>
      <c r="E673" s="127"/>
      <c r="F673" s="127" t="s">
        <v>89</v>
      </c>
      <c r="G673" s="127"/>
      <c r="H673" s="129"/>
      <c r="I673" s="127"/>
      <c r="J673" s="129"/>
      <c r="K673" s="129"/>
      <c r="L673" s="127"/>
      <c r="M673" s="129"/>
      <c r="N673" s="129"/>
      <c r="O673" s="129"/>
      <c r="P673" s="309"/>
      <c r="Q673" s="309"/>
      <c r="R673" s="309"/>
      <c r="S673" s="309"/>
    </row>
    <row r="674" spans="1:19" x14ac:dyDescent="0.25">
      <c r="A674" s="127">
        <v>5</v>
      </c>
      <c r="B674" s="127">
        <v>5</v>
      </c>
      <c r="C674" s="127">
        <v>9</v>
      </c>
      <c r="D674" s="127"/>
      <c r="E674" s="127"/>
      <c r="F674" s="128" t="s">
        <v>90</v>
      </c>
      <c r="G674" s="468">
        <f t="shared" ref="G674:J674" si="212">SUM(G675:G682)</f>
        <v>0</v>
      </c>
      <c r="H674" s="468">
        <f t="shared" si="212"/>
        <v>178500</v>
      </c>
      <c r="I674" s="468">
        <f t="shared" si="212"/>
        <v>0</v>
      </c>
      <c r="J674" s="468">
        <f t="shared" si="212"/>
        <v>178500</v>
      </c>
      <c r="K674" s="468"/>
      <c r="L674" s="468">
        <f t="shared" ref="L674" si="213">SUM(L675:L682)</f>
        <v>139700</v>
      </c>
      <c r="M674" s="468"/>
      <c r="N674" s="468"/>
      <c r="O674" s="468">
        <f t="shared" ref="O674" si="214">SUM(O675:O682)</f>
        <v>0</v>
      </c>
      <c r="P674" s="309"/>
      <c r="Q674" s="309"/>
      <c r="R674" s="309"/>
      <c r="S674" s="309"/>
    </row>
    <row r="675" spans="1:19" x14ac:dyDescent="0.25">
      <c r="A675" s="127">
        <v>5</v>
      </c>
      <c r="B675" s="127">
        <v>5</v>
      </c>
      <c r="C675" s="127">
        <v>9</v>
      </c>
      <c r="D675" s="127">
        <v>1</v>
      </c>
      <c r="E675" s="127"/>
      <c r="F675" s="127" t="s">
        <v>538</v>
      </c>
      <c r="G675" s="127"/>
      <c r="H675" s="129"/>
      <c r="I675" s="127"/>
      <c r="J675" s="129"/>
      <c r="K675" s="129"/>
      <c r="L675" s="127"/>
      <c r="M675" s="129"/>
      <c r="N675" s="129"/>
      <c r="O675" s="129"/>
      <c r="P675" s="309"/>
      <c r="Q675" s="309"/>
      <c r="R675" s="309"/>
      <c r="S675" s="309"/>
    </row>
    <row r="676" spans="1:19" x14ac:dyDescent="0.25">
      <c r="A676" s="127">
        <v>5</v>
      </c>
      <c r="B676" s="127">
        <v>5</v>
      </c>
      <c r="C676" s="127">
        <v>9</v>
      </c>
      <c r="D676" s="127">
        <v>2</v>
      </c>
      <c r="E676" s="127"/>
      <c r="F676" s="127" t="s">
        <v>539</v>
      </c>
      <c r="G676" s="127"/>
      <c r="H676" s="129"/>
      <c r="I676" s="127"/>
      <c r="J676" s="129"/>
      <c r="K676" s="129"/>
      <c r="L676" s="127"/>
      <c r="M676" s="129"/>
      <c r="N676" s="129"/>
      <c r="O676" s="129"/>
      <c r="P676" s="309"/>
      <c r="Q676" s="309"/>
      <c r="R676" s="309"/>
      <c r="S676" s="309"/>
    </row>
    <row r="677" spans="1:19" x14ac:dyDescent="0.25">
      <c r="A677" s="127">
        <v>5</v>
      </c>
      <c r="B677" s="127">
        <v>5</v>
      </c>
      <c r="C677" s="127">
        <v>9</v>
      </c>
      <c r="D677" s="127">
        <v>3</v>
      </c>
      <c r="E677" s="127"/>
      <c r="F677" s="127" t="s">
        <v>540</v>
      </c>
      <c r="G677" s="127"/>
      <c r="H677" s="129"/>
      <c r="I677" s="127"/>
      <c r="J677" s="129"/>
      <c r="K677" s="129"/>
      <c r="L677" s="127"/>
      <c r="M677" s="129"/>
      <c r="N677" s="129"/>
      <c r="O677" s="129"/>
      <c r="P677" s="309"/>
      <c r="Q677" s="309"/>
      <c r="R677" s="309"/>
      <c r="S677" s="309"/>
    </row>
    <row r="678" spans="1:19" ht="24" x14ac:dyDescent="0.25">
      <c r="A678" s="127">
        <v>5</v>
      </c>
      <c r="B678" s="127">
        <v>5</v>
      </c>
      <c r="C678" s="127">
        <v>9</v>
      </c>
      <c r="D678" s="127">
        <v>4</v>
      </c>
      <c r="E678" s="127"/>
      <c r="F678" s="127" t="s">
        <v>541</v>
      </c>
      <c r="G678" s="127"/>
      <c r="H678" s="129"/>
      <c r="I678" s="127"/>
      <c r="J678" s="129"/>
      <c r="K678" s="129"/>
      <c r="L678" s="127"/>
      <c r="M678" s="129"/>
      <c r="N678" s="129"/>
      <c r="O678" s="129"/>
      <c r="P678" s="309"/>
      <c r="Q678" s="309"/>
      <c r="R678" s="309"/>
      <c r="S678" s="309"/>
    </row>
    <row r="679" spans="1:19" ht="24" x14ac:dyDescent="0.25">
      <c r="A679" s="127">
        <v>5</v>
      </c>
      <c r="B679" s="127">
        <v>5</v>
      </c>
      <c r="C679" s="127">
        <v>9</v>
      </c>
      <c r="D679" s="127">
        <v>5</v>
      </c>
      <c r="E679" s="127"/>
      <c r="F679" s="127" t="s">
        <v>542</v>
      </c>
      <c r="G679" s="127"/>
      <c r="H679" s="129"/>
      <c r="I679" s="127"/>
      <c r="J679" s="129"/>
      <c r="K679" s="129"/>
      <c r="L679" s="127"/>
      <c r="M679" s="129"/>
      <c r="N679" s="129"/>
      <c r="O679" s="129"/>
      <c r="P679" s="309"/>
      <c r="Q679" s="309"/>
      <c r="R679" s="309"/>
      <c r="S679" s="309"/>
    </row>
    <row r="680" spans="1:19" x14ac:dyDescent="0.25">
      <c r="A680" s="127">
        <v>5</v>
      </c>
      <c r="B680" s="127">
        <v>5</v>
      </c>
      <c r="C680" s="127">
        <v>9</v>
      </c>
      <c r="D680" s="127">
        <v>6</v>
      </c>
      <c r="E680" s="127"/>
      <c r="F680" s="127" t="s">
        <v>148</v>
      </c>
      <c r="G680" s="127"/>
      <c r="H680" s="129"/>
      <c r="I680" s="127"/>
      <c r="J680" s="129"/>
      <c r="K680" s="129"/>
      <c r="L680" s="127"/>
      <c r="M680" s="129"/>
      <c r="N680" s="129"/>
      <c r="O680" s="129"/>
      <c r="P680" s="309"/>
      <c r="Q680" s="309"/>
      <c r="R680" s="309"/>
      <c r="S680" s="309"/>
    </row>
    <row r="681" spans="1:19" x14ac:dyDescent="0.25">
      <c r="A681" s="127">
        <v>5</v>
      </c>
      <c r="B681" s="127">
        <v>5</v>
      </c>
      <c r="C681" s="127">
        <v>9</v>
      </c>
      <c r="D681" s="127">
        <v>7</v>
      </c>
      <c r="E681" s="127"/>
      <c r="F681" s="127" t="s">
        <v>543</v>
      </c>
      <c r="G681" s="127"/>
      <c r="H681" s="129"/>
      <c r="I681" s="127"/>
      <c r="J681" s="129"/>
      <c r="K681" s="129"/>
      <c r="L681" s="127"/>
      <c r="M681" s="129"/>
      <c r="N681" s="129"/>
      <c r="O681" s="129"/>
      <c r="P681" s="309"/>
      <c r="Q681" s="309"/>
      <c r="R681" s="309"/>
      <c r="S681" s="309"/>
    </row>
    <row r="682" spans="1:19" x14ac:dyDescent="0.25">
      <c r="A682" s="127">
        <v>5</v>
      </c>
      <c r="B682" s="127">
        <v>5</v>
      </c>
      <c r="C682" s="127">
        <v>9</v>
      </c>
      <c r="D682" s="127">
        <v>9</v>
      </c>
      <c r="E682" s="127"/>
      <c r="F682" s="127" t="s">
        <v>544</v>
      </c>
      <c r="G682" s="129">
        <f>SUM(G683:G686)</f>
        <v>0</v>
      </c>
      <c r="H682" s="129">
        <f t="shared" ref="H682:J682" si="215">SUM(H683:H686)</f>
        <v>178500</v>
      </c>
      <c r="I682" s="129">
        <f t="shared" si="215"/>
        <v>0</v>
      </c>
      <c r="J682" s="129">
        <f t="shared" si="215"/>
        <v>178500</v>
      </c>
      <c r="K682" s="129"/>
      <c r="L682" s="129">
        <f>SUM(L683:L686)</f>
        <v>139700</v>
      </c>
      <c r="M682" s="129"/>
      <c r="N682" s="129"/>
      <c r="O682" s="129">
        <f t="shared" ref="O682" si="216">SUM(O683:O686)</f>
        <v>0</v>
      </c>
      <c r="P682" s="309"/>
      <c r="Q682" s="309"/>
      <c r="R682" s="309"/>
      <c r="S682" s="309"/>
    </row>
    <row r="683" spans="1:19" x14ac:dyDescent="0.25">
      <c r="A683" s="127"/>
      <c r="B683" s="127"/>
      <c r="C683" s="127"/>
      <c r="D683" s="127"/>
      <c r="E683" s="127"/>
      <c r="F683" s="127" t="s">
        <v>819</v>
      </c>
      <c r="G683" s="140">
        <v>0</v>
      </c>
      <c r="H683" s="129">
        <v>0</v>
      </c>
      <c r="I683" s="127"/>
      <c r="J683" s="129">
        <f>+G683+H683-I683</f>
        <v>0</v>
      </c>
      <c r="K683" s="129"/>
      <c r="L683" s="140">
        <v>0</v>
      </c>
      <c r="M683" s="129"/>
      <c r="N683" s="129"/>
      <c r="O683" s="129">
        <f>+L683+M683-N683</f>
        <v>0</v>
      </c>
      <c r="P683" s="309"/>
      <c r="Q683" s="309"/>
      <c r="R683" s="309"/>
      <c r="S683" s="309"/>
    </row>
    <row r="684" spans="1:19" ht="24" x14ac:dyDescent="0.25">
      <c r="A684" s="127"/>
      <c r="B684" s="127"/>
      <c r="C684" s="127"/>
      <c r="D684" s="127"/>
      <c r="E684" s="127"/>
      <c r="F684" s="127" t="s">
        <v>820</v>
      </c>
      <c r="G684" s="140">
        <v>0</v>
      </c>
      <c r="H684" s="129">
        <v>0</v>
      </c>
      <c r="I684" s="127"/>
      <c r="J684" s="129">
        <f t="shared" ref="J684:J685" si="217">+G684+H684-I684</f>
        <v>0</v>
      </c>
      <c r="K684" s="129"/>
      <c r="L684" s="140">
        <v>0</v>
      </c>
      <c r="M684" s="129"/>
      <c r="N684" s="129"/>
      <c r="O684" s="129">
        <f t="shared" ref="O684:O685" si="218">+L684+M684-N684</f>
        <v>0</v>
      </c>
      <c r="P684" s="309"/>
      <c r="Q684" s="309"/>
      <c r="R684" s="309"/>
      <c r="S684" s="309"/>
    </row>
    <row r="685" spans="1:19" x14ac:dyDescent="0.25">
      <c r="A685" s="127"/>
      <c r="B685" s="127"/>
      <c r="C685" s="127"/>
      <c r="D685" s="127"/>
      <c r="E685" s="127"/>
      <c r="F685" s="127" t="s">
        <v>302</v>
      </c>
      <c r="G685" s="140">
        <v>0</v>
      </c>
      <c r="H685" s="129">
        <v>0</v>
      </c>
      <c r="I685" s="127"/>
      <c r="J685" s="129">
        <f t="shared" si="217"/>
        <v>0</v>
      </c>
      <c r="K685" s="129"/>
      <c r="L685" s="140">
        <v>0</v>
      </c>
      <c r="M685" s="129"/>
      <c r="N685" s="129"/>
      <c r="O685" s="129">
        <f t="shared" si="218"/>
        <v>0</v>
      </c>
      <c r="P685" s="309"/>
      <c r="Q685" s="309"/>
      <c r="R685" s="309"/>
      <c r="S685" s="309"/>
    </row>
    <row r="686" spans="1:19" x14ac:dyDescent="0.25">
      <c r="A686" s="127"/>
      <c r="B686" s="127"/>
      <c r="C686" s="127"/>
      <c r="D686" s="127"/>
      <c r="E686" s="127"/>
      <c r="F686" s="127" t="s">
        <v>838</v>
      </c>
      <c r="G686" s="140">
        <v>0</v>
      </c>
      <c r="H686" s="129">
        <v>178500</v>
      </c>
      <c r="I686" s="127">
        <v>0</v>
      </c>
      <c r="J686" s="129">
        <f>H686</f>
        <v>178500</v>
      </c>
      <c r="K686" s="129"/>
      <c r="L686" s="140">
        <v>139700</v>
      </c>
      <c r="M686" s="129"/>
      <c r="N686" s="129"/>
      <c r="O686" s="129">
        <v>0</v>
      </c>
      <c r="P686" s="309"/>
      <c r="Q686" s="309"/>
      <c r="R686" s="309"/>
      <c r="S686" s="309"/>
    </row>
    <row r="687" spans="1:19" x14ac:dyDescent="0.25">
      <c r="A687" s="125">
        <v>6</v>
      </c>
      <c r="B687" s="125"/>
      <c r="C687" s="125"/>
      <c r="D687" s="125"/>
      <c r="E687" s="125"/>
      <c r="F687" s="125" t="s">
        <v>545</v>
      </c>
      <c r="G687" s="125">
        <v>0</v>
      </c>
      <c r="H687" s="129"/>
      <c r="I687" s="125"/>
      <c r="J687" s="129"/>
      <c r="K687" s="129"/>
      <c r="L687" s="125">
        <v>0</v>
      </c>
      <c r="M687" s="129"/>
      <c r="N687" s="129"/>
      <c r="O687" s="129"/>
      <c r="P687" s="309"/>
      <c r="Q687" s="309"/>
      <c r="R687" s="309"/>
      <c r="S687" s="309"/>
    </row>
    <row r="688" spans="1:19" x14ac:dyDescent="0.25">
      <c r="A688" s="126">
        <v>6</v>
      </c>
      <c r="B688" s="126">
        <v>1</v>
      </c>
      <c r="C688" s="126"/>
      <c r="D688" s="126"/>
      <c r="E688" s="126"/>
      <c r="F688" s="126" t="s">
        <v>546</v>
      </c>
      <c r="G688" s="126"/>
      <c r="H688" s="129"/>
      <c r="I688" s="126"/>
      <c r="J688" s="129"/>
      <c r="K688" s="129"/>
      <c r="L688" s="126"/>
      <c r="M688" s="129"/>
      <c r="N688" s="129"/>
      <c r="O688" s="129"/>
      <c r="P688" s="309"/>
      <c r="Q688" s="309"/>
      <c r="R688" s="309"/>
      <c r="S688" s="309"/>
    </row>
    <row r="689" spans="1:19" x14ac:dyDescent="0.25">
      <c r="A689" s="126">
        <v>6</v>
      </c>
      <c r="B689" s="126">
        <v>2</v>
      </c>
      <c r="C689" s="126"/>
      <c r="D689" s="126"/>
      <c r="E689" s="126"/>
      <c r="F689" s="126" t="s">
        <v>547</v>
      </c>
      <c r="G689" s="126"/>
      <c r="H689" s="129"/>
      <c r="I689" s="126"/>
      <c r="J689" s="129"/>
      <c r="K689" s="129"/>
      <c r="L689" s="126"/>
      <c r="M689" s="129"/>
      <c r="N689" s="129"/>
      <c r="O689" s="129"/>
      <c r="P689" s="309"/>
      <c r="Q689" s="309"/>
      <c r="R689" s="309"/>
      <c r="S689" s="309"/>
    </row>
    <row r="690" spans="1:19" x14ac:dyDescent="0.25">
      <c r="A690" s="126">
        <v>6</v>
      </c>
      <c r="B690" s="126">
        <v>3</v>
      </c>
      <c r="C690" s="126"/>
      <c r="D690" s="126"/>
      <c r="E690" s="126"/>
      <c r="F690" s="126" t="s">
        <v>548</v>
      </c>
      <c r="G690" s="126"/>
      <c r="H690" s="129"/>
      <c r="I690" s="126"/>
      <c r="J690" s="129"/>
      <c r="K690" s="129"/>
      <c r="L690" s="126"/>
      <c r="M690" s="129"/>
      <c r="N690" s="129"/>
      <c r="O690" s="129"/>
      <c r="P690" s="309"/>
      <c r="Q690" s="309"/>
      <c r="R690" s="309"/>
      <c r="S690" s="309"/>
    </row>
    <row r="691" spans="1:19" x14ac:dyDescent="0.25">
      <c r="A691" s="344">
        <v>7</v>
      </c>
      <c r="B691" s="344"/>
      <c r="C691" s="344"/>
      <c r="D691" s="344"/>
      <c r="E691" s="344"/>
      <c r="F691" s="125" t="s">
        <v>549</v>
      </c>
      <c r="G691" s="125"/>
      <c r="H691" s="129"/>
      <c r="I691" s="125"/>
      <c r="J691" s="129"/>
      <c r="K691" s="129"/>
      <c r="L691" s="125"/>
      <c r="M691" s="129"/>
      <c r="N691" s="129"/>
      <c r="O691" s="129"/>
      <c r="P691" s="309"/>
      <c r="Q691" s="309"/>
      <c r="R691" s="309"/>
      <c r="S691" s="309"/>
    </row>
    <row r="692" spans="1:19" x14ac:dyDescent="0.25">
      <c r="A692" s="126">
        <v>7</v>
      </c>
      <c r="B692" s="126">
        <v>1</v>
      </c>
      <c r="C692" s="126"/>
      <c r="D692" s="126"/>
      <c r="E692" s="126"/>
      <c r="F692" s="126" t="s">
        <v>550</v>
      </c>
      <c r="G692" s="126"/>
      <c r="H692" s="129"/>
      <c r="I692" s="126"/>
      <c r="J692" s="129"/>
      <c r="K692" s="129"/>
      <c r="L692" s="126"/>
      <c r="M692" s="129"/>
      <c r="N692" s="129"/>
      <c r="O692" s="129"/>
      <c r="P692" s="309"/>
      <c r="Q692" s="309"/>
      <c r="R692" s="309"/>
      <c r="S692" s="309"/>
    </row>
    <row r="693" spans="1:19" x14ac:dyDescent="0.25">
      <c r="A693" s="127">
        <v>7</v>
      </c>
      <c r="B693" s="127">
        <v>1</v>
      </c>
      <c r="C693" s="127">
        <v>1</v>
      </c>
      <c r="D693" s="127"/>
      <c r="E693" s="127"/>
      <c r="F693" s="128" t="s">
        <v>551</v>
      </c>
      <c r="G693" s="128"/>
      <c r="H693" s="129"/>
      <c r="I693" s="128"/>
      <c r="J693" s="129"/>
      <c r="K693" s="129"/>
      <c r="L693" s="128"/>
      <c r="M693" s="129"/>
      <c r="N693" s="129"/>
      <c r="O693" s="129"/>
      <c r="P693" s="309"/>
      <c r="Q693" s="309"/>
      <c r="R693" s="309"/>
      <c r="S693" s="309"/>
    </row>
    <row r="694" spans="1:19" x14ac:dyDescent="0.25">
      <c r="A694" s="127">
        <v>7</v>
      </c>
      <c r="B694" s="127">
        <v>1</v>
      </c>
      <c r="C694" s="127">
        <v>2</v>
      </c>
      <c r="D694" s="127"/>
      <c r="E694" s="127"/>
      <c r="F694" s="128" t="s">
        <v>552</v>
      </c>
      <c r="G694" s="128"/>
      <c r="H694" s="129"/>
      <c r="I694" s="128"/>
      <c r="J694" s="129"/>
      <c r="K694" s="129"/>
      <c r="L694" s="128"/>
      <c r="M694" s="129"/>
      <c r="N694" s="129"/>
      <c r="O694" s="129"/>
      <c r="P694" s="309"/>
      <c r="Q694" s="309"/>
      <c r="R694" s="309"/>
      <c r="S694" s="309"/>
    </row>
    <row r="695" spans="1:19" ht="24" x14ac:dyDescent="0.25">
      <c r="A695" s="127">
        <v>7</v>
      </c>
      <c r="B695" s="127">
        <v>1</v>
      </c>
      <c r="C695" s="127">
        <v>3</v>
      </c>
      <c r="D695" s="127"/>
      <c r="E695" s="127"/>
      <c r="F695" s="128" t="s">
        <v>553</v>
      </c>
      <c r="G695" s="128"/>
      <c r="H695" s="129"/>
      <c r="I695" s="128"/>
      <c r="J695" s="129"/>
      <c r="K695" s="129"/>
      <c r="L695" s="128"/>
      <c r="M695" s="129"/>
      <c r="N695" s="129"/>
      <c r="O695" s="129"/>
      <c r="P695" s="309"/>
      <c r="Q695" s="309"/>
      <c r="R695" s="309"/>
      <c r="S695" s="309"/>
    </row>
    <row r="696" spans="1:19" ht="24" x14ac:dyDescent="0.25">
      <c r="A696" s="127">
        <v>7</v>
      </c>
      <c r="B696" s="127">
        <v>1</v>
      </c>
      <c r="C696" s="127">
        <v>4</v>
      </c>
      <c r="D696" s="127"/>
      <c r="E696" s="127"/>
      <c r="F696" s="128" t="s">
        <v>554</v>
      </c>
      <c r="G696" s="128"/>
      <c r="H696" s="129"/>
      <c r="I696" s="128"/>
      <c r="J696" s="129"/>
      <c r="K696" s="129"/>
      <c r="L696" s="128"/>
      <c r="M696" s="129"/>
      <c r="N696" s="129"/>
      <c r="O696" s="129"/>
      <c r="P696" s="309"/>
      <c r="Q696" s="309"/>
      <c r="R696" s="309"/>
      <c r="S696" s="309"/>
    </row>
    <row r="697" spans="1:19" ht="24" x14ac:dyDescent="0.25">
      <c r="A697" s="127">
        <v>7</v>
      </c>
      <c r="B697" s="127">
        <v>1</v>
      </c>
      <c r="C697" s="127">
        <v>5</v>
      </c>
      <c r="D697" s="127"/>
      <c r="E697" s="127"/>
      <c r="F697" s="128" t="s">
        <v>555</v>
      </c>
      <c r="G697" s="128"/>
      <c r="H697" s="129"/>
      <c r="I697" s="128"/>
      <c r="J697" s="129"/>
      <c r="K697" s="129"/>
      <c r="L697" s="128"/>
      <c r="M697" s="129"/>
      <c r="N697" s="129"/>
      <c r="O697" s="129"/>
      <c r="P697" s="309"/>
      <c r="Q697" s="309"/>
      <c r="R697" s="309"/>
      <c r="S697" s="309"/>
    </row>
    <row r="698" spans="1:19" ht="24" x14ac:dyDescent="0.25">
      <c r="A698" s="127">
        <v>7</v>
      </c>
      <c r="B698" s="127">
        <v>1</v>
      </c>
      <c r="C698" s="127">
        <v>6</v>
      </c>
      <c r="D698" s="127"/>
      <c r="E698" s="127"/>
      <c r="F698" s="128" t="s">
        <v>556</v>
      </c>
      <c r="G698" s="128"/>
      <c r="H698" s="129"/>
      <c r="I698" s="128"/>
      <c r="J698" s="129"/>
      <c r="K698" s="129"/>
      <c r="L698" s="128"/>
      <c r="M698" s="129"/>
      <c r="N698" s="129"/>
      <c r="O698" s="129"/>
      <c r="P698" s="309"/>
      <c r="Q698" s="309"/>
      <c r="R698" s="309"/>
      <c r="S698" s="309"/>
    </row>
    <row r="699" spans="1:19" x14ac:dyDescent="0.25">
      <c r="A699" s="126">
        <v>7</v>
      </c>
      <c r="B699" s="126">
        <v>2</v>
      </c>
      <c r="C699" s="126"/>
      <c r="D699" s="126"/>
      <c r="E699" s="126"/>
      <c r="F699" s="126" t="s">
        <v>557</v>
      </c>
      <c r="G699" s="126"/>
      <c r="H699" s="129"/>
      <c r="I699" s="126"/>
      <c r="J699" s="129"/>
      <c r="K699" s="129"/>
      <c r="L699" s="126"/>
      <c r="M699" s="129"/>
      <c r="N699" s="129"/>
      <c r="O699" s="129"/>
      <c r="P699" s="309"/>
      <c r="Q699" s="309"/>
      <c r="R699" s="309"/>
      <c r="S699" s="309"/>
    </row>
    <row r="700" spans="1:19" ht="24" x14ac:dyDescent="0.25">
      <c r="A700" s="127">
        <v>7</v>
      </c>
      <c r="B700" s="127">
        <v>2</v>
      </c>
      <c r="C700" s="127">
        <v>1</v>
      </c>
      <c r="D700" s="127"/>
      <c r="E700" s="127"/>
      <c r="F700" s="128" t="s">
        <v>558</v>
      </c>
      <c r="G700" s="128"/>
      <c r="H700" s="129"/>
      <c r="I700" s="128"/>
      <c r="J700" s="129"/>
      <c r="K700" s="129"/>
      <c r="L700" s="128"/>
      <c r="M700" s="129"/>
      <c r="N700" s="129"/>
      <c r="O700" s="129"/>
      <c r="P700" s="309"/>
      <c r="Q700" s="309"/>
      <c r="R700" s="309"/>
      <c r="S700" s="309"/>
    </row>
    <row r="701" spans="1:19" ht="24" x14ac:dyDescent="0.25">
      <c r="A701" s="127">
        <v>7</v>
      </c>
      <c r="B701" s="127">
        <v>2</v>
      </c>
      <c r="C701" s="127">
        <v>2</v>
      </c>
      <c r="D701" s="127"/>
      <c r="E701" s="127"/>
      <c r="F701" s="128" t="s">
        <v>559</v>
      </c>
      <c r="G701" s="128"/>
      <c r="H701" s="129"/>
      <c r="I701" s="128"/>
      <c r="J701" s="129"/>
      <c r="K701" s="129"/>
      <c r="L701" s="128"/>
      <c r="M701" s="129"/>
      <c r="N701" s="129"/>
      <c r="O701" s="129"/>
      <c r="P701" s="309"/>
      <c r="Q701" s="309"/>
      <c r="R701" s="309"/>
      <c r="S701" s="309"/>
    </row>
    <row r="702" spans="1:19" ht="24" x14ac:dyDescent="0.25">
      <c r="A702" s="127">
        <v>7</v>
      </c>
      <c r="B702" s="127">
        <v>2</v>
      </c>
      <c r="C702" s="127">
        <v>3</v>
      </c>
      <c r="D702" s="127"/>
      <c r="E702" s="127"/>
      <c r="F702" s="128" t="s">
        <v>560</v>
      </c>
      <c r="G702" s="128"/>
      <c r="H702" s="129"/>
      <c r="I702" s="128"/>
      <c r="J702" s="129"/>
      <c r="K702" s="129"/>
      <c r="L702" s="128"/>
      <c r="M702" s="129"/>
      <c r="N702" s="129"/>
      <c r="O702" s="129"/>
      <c r="P702" s="309"/>
      <c r="Q702" s="309"/>
      <c r="R702" s="309"/>
      <c r="S702" s="309"/>
    </row>
    <row r="703" spans="1:19" ht="24" x14ac:dyDescent="0.25">
      <c r="A703" s="127">
        <v>7</v>
      </c>
      <c r="B703" s="127">
        <v>2</v>
      </c>
      <c r="C703" s="127">
        <v>4</v>
      </c>
      <c r="D703" s="127"/>
      <c r="E703" s="127"/>
      <c r="F703" s="128" t="s">
        <v>561</v>
      </c>
      <c r="G703" s="128"/>
      <c r="H703" s="129"/>
      <c r="I703" s="128"/>
      <c r="J703" s="129"/>
      <c r="K703" s="129"/>
      <c r="L703" s="128"/>
      <c r="M703" s="129"/>
      <c r="N703" s="129"/>
      <c r="O703" s="129"/>
      <c r="P703" s="309"/>
      <c r="Q703" s="309"/>
      <c r="R703" s="309"/>
      <c r="S703" s="309"/>
    </row>
    <row r="704" spans="1:19" ht="24" x14ac:dyDescent="0.25">
      <c r="A704" s="127">
        <v>7</v>
      </c>
      <c r="B704" s="127">
        <v>2</v>
      </c>
      <c r="C704" s="127">
        <v>5</v>
      </c>
      <c r="D704" s="127"/>
      <c r="E704" s="127"/>
      <c r="F704" s="128" t="s">
        <v>562</v>
      </c>
      <c r="G704" s="128"/>
      <c r="H704" s="129"/>
      <c r="I704" s="128"/>
      <c r="J704" s="129"/>
      <c r="K704" s="129"/>
      <c r="L704" s="128"/>
      <c r="M704" s="129"/>
      <c r="N704" s="129"/>
      <c r="O704" s="129"/>
      <c r="P704" s="309"/>
      <c r="Q704" s="309"/>
      <c r="R704" s="309"/>
      <c r="S704" s="309"/>
    </row>
    <row r="705" spans="1:19" ht="24" x14ac:dyDescent="0.25">
      <c r="A705" s="127">
        <v>7</v>
      </c>
      <c r="B705" s="127">
        <v>2</v>
      </c>
      <c r="C705" s="127">
        <v>6</v>
      </c>
      <c r="D705" s="127"/>
      <c r="E705" s="127"/>
      <c r="F705" s="128" t="s">
        <v>563</v>
      </c>
      <c r="G705" s="128"/>
      <c r="H705" s="129"/>
      <c r="I705" s="128"/>
      <c r="J705" s="129"/>
      <c r="K705" s="129"/>
      <c r="L705" s="128"/>
      <c r="M705" s="129"/>
      <c r="N705" s="129"/>
      <c r="O705" s="129"/>
      <c r="P705" s="309"/>
      <c r="Q705" s="309"/>
      <c r="R705" s="309"/>
      <c r="S705" s="309"/>
    </row>
    <row r="706" spans="1:19" x14ac:dyDescent="0.25">
      <c r="A706" s="126">
        <v>7</v>
      </c>
      <c r="B706" s="126">
        <v>3</v>
      </c>
      <c r="C706" s="126"/>
      <c r="D706" s="126"/>
      <c r="E706" s="126"/>
      <c r="F706" s="126" t="s">
        <v>564</v>
      </c>
      <c r="G706" s="126"/>
      <c r="H706" s="129"/>
      <c r="I706" s="126"/>
      <c r="J706" s="129"/>
      <c r="K706" s="129"/>
      <c r="L706" s="126"/>
      <c r="M706" s="129"/>
      <c r="N706" s="129"/>
      <c r="O706" s="129"/>
      <c r="P706" s="309"/>
      <c r="Q706" s="309"/>
      <c r="R706" s="309"/>
      <c r="S706" s="309"/>
    </row>
    <row r="707" spans="1:19" x14ac:dyDescent="0.25">
      <c r="A707" s="127">
        <v>7</v>
      </c>
      <c r="B707" s="127">
        <v>3</v>
      </c>
      <c r="C707" s="127">
        <v>1</v>
      </c>
      <c r="D707" s="127"/>
      <c r="E707" s="127"/>
      <c r="F707" s="128" t="s">
        <v>565</v>
      </c>
      <c r="G707" s="128"/>
      <c r="H707" s="129"/>
      <c r="I707" s="128"/>
      <c r="J707" s="129"/>
      <c r="K707" s="129"/>
      <c r="L707" s="128"/>
      <c r="M707" s="129"/>
      <c r="N707" s="129"/>
      <c r="O707" s="129"/>
      <c r="P707" s="309"/>
      <c r="Q707" s="309"/>
      <c r="R707" s="309"/>
      <c r="S707" s="309"/>
    </row>
    <row r="708" spans="1:19" x14ac:dyDescent="0.25">
      <c r="A708" s="127">
        <v>7</v>
      </c>
      <c r="B708" s="127">
        <v>3</v>
      </c>
      <c r="C708" s="127">
        <v>2</v>
      </c>
      <c r="D708" s="127"/>
      <c r="E708" s="127"/>
      <c r="F708" s="128" t="s">
        <v>566</v>
      </c>
      <c r="G708" s="128"/>
      <c r="H708" s="129"/>
      <c r="I708" s="128"/>
      <c r="J708" s="129"/>
      <c r="K708" s="129"/>
      <c r="L708" s="128"/>
      <c r="M708" s="129"/>
      <c r="N708" s="129"/>
      <c r="O708" s="129"/>
      <c r="P708" s="309"/>
      <c r="Q708" s="309"/>
      <c r="R708" s="309"/>
      <c r="S708" s="309"/>
    </row>
    <row r="709" spans="1:19" x14ac:dyDescent="0.25">
      <c r="A709" s="127">
        <v>7</v>
      </c>
      <c r="B709" s="127">
        <v>3</v>
      </c>
      <c r="C709" s="127">
        <v>3</v>
      </c>
      <c r="D709" s="127"/>
      <c r="E709" s="127"/>
      <c r="F709" s="128" t="s">
        <v>567</v>
      </c>
      <c r="G709" s="128"/>
      <c r="H709" s="129"/>
      <c r="I709" s="128"/>
      <c r="J709" s="129"/>
      <c r="K709" s="129"/>
      <c r="L709" s="128"/>
      <c r="M709" s="129"/>
      <c r="N709" s="129"/>
      <c r="O709" s="129"/>
      <c r="P709" s="309"/>
      <c r="Q709" s="309"/>
      <c r="R709" s="309"/>
      <c r="S709" s="309"/>
    </row>
    <row r="710" spans="1:19" x14ac:dyDescent="0.25">
      <c r="A710" s="127">
        <v>7</v>
      </c>
      <c r="B710" s="127">
        <v>3</v>
      </c>
      <c r="C710" s="127">
        <v>4</v>
      </c>
      <c r="D710" s="127"/>
      <c r="E710" s="127"/>
      <c r="F710" s="128" t="s">
        <v>568</v>
      </c>
      <c r="G710" s="128"/>
      <c r="H710" s="129"/>
      <c r="I710" s="128"/>
      <c r="J710" s="129"/>
      <c r="K710" s="129"/>
      <c r="L710" s="128"/>
      <c r="M710" s="129"/>
      <c r="N710" s="129"/>
      <c r="O710" s="129"/>
      <c r="P710" s="309"/>
      <c r="Q710" s="309"/>
      <c r="R710" s="309"/>
      <c r="S710" s="309"/>
    </row>
    <row r="711" spans="1:19" ht="24" x14ac:dyDescent="0.25">
      <c r="A711" s="127">
        <v>7</v>
      </c>
      <c r="B711" s="127">
        <v>3</v>
      </c>
      <c r="C711" s="127">
        <v>5</v>
      </c>
      <c r="D711" s="127"/>
      <c r="E711" s="127"/>
      <c r="F711" s="128" t="s">
        <v>569</v>
      </c>
      <c r="G711" s="128"/>
      <c r="H711" s="129"/>
      <c r="I711" s="128"/>
      <c r="J711" s="129"/>
      <c r="K711" s="129"/>
      <c r="L711" s="128"/>
      <c r="M711" s="129"/>
      <c r="N711" s="129"/>
      <c r="O711" s="129"/>
      <c r="P711" s="309"/>
      <c r="Q711" s="309"/>
      <c r="R711" s="309"/>
      <c r="S711" s="309"/>
    </row>
    <row r="712" spans="1:19" ht="24" x14ac:dyDescent="0.25">
      <c r="A712" s="127">
        <v>7</v>
      </c>
      <c r="B712" s="127">
        <v>3</v>
      </c>
      <c r="C712" s="127">
        <v>6</v>
      </c>
      <c r="D712" s="127"/>
      <c r="E712" s="127"/>
      <c r="F712" s="128" t="s">
        <v>570</v>
      </c>
      <c r="G712" s="128"/>
      <c r="H712" s="129"/>
      <c r="I712" s="128"/>
      <c r="J712" s="129"/>
      <c r="K712" s="129"/>
      <c r="L712" s="128"/>
      <c r="M712" s="129"/>
      <c r="N712" s="129"/>
      <c r="O712" s="129"/>
      <c r="P712" s="309"/>
      <c r="Q712" s="309"/>
      <c r="R712" s="309"/>
      <c r="S712" s="309"/>
    </row>
    <row r="713" spans="1:19" x14ac:dyDescent="0.25">
      <c r="A713" s="126">
        <v>7</v>
      </c>
      <c r="B713" s="126">
        <v>4</v>
      </c>
      <c r="C713" s="126"/>
      <c r="D713" s="126"/>
      <c r="E713" s="126"/>
      <c r="F713" s="126" t="s">
        <v>571</v>
      </c>
      <c r="G713" s="126"/>
      <c r="H713" s="129"/>
      <c r="I713" s="126"/>
      <c r="J713" s="129"/>
      <c r="K713" s="129"/>
      <c r="L713" s="126"/>
      <c r="M713" s="129"/>
      <c r="N713" s="129"/>
      <c r="O713" s="129"/>
      <c r="P713" s="309"/>
      <c r="Q713" s="309"/>
      <c r="R713" s="309"/>
      <c r="S713" s="309"/>
    </row>
    <row r="714" spans="1:19" x14ac:dyDescent="0.25">
      <c r="A714" s="127">
        <v>7</v>
      </c>
      <c r="B714" s="127">
        <v>4</v>
      </c>
      <c r="C714" s="127">
        <v>1</v>
      </c>
      <c r="D714" s="127"/>
      <c r="E714" s="127"/>
      <c r="F714" s="128" t="s">
        <v>572</v>
      </c>
      <c r="G714" s="128"/>
      <c r="H714" s="129"/>
      <c r="I714" s="128"/>
      <c r="J714" s="129"/>
      <c r="K714" s="129"/>
      <c r="L714" s="128"/>
      <c r="M714" s="129"/>
      <c r="N714" s="129"/>
      <c r="O714" s="129"/>
      <c r="P714" s="309"/>
      <c r="Q714" s="309"/>
      <c r="R714" s="309"/>
      <c r="S714" s="309"/>
    </row>
    <row r="715" spans="1:19" x14ac:dyDescent="0.25">
      <c r="A715" s="127">
        <v>7</v>
      </c>
      <c r="B715" s="127">
        <v>4</v>
      </c>
      <c r="C715" s="127">
        <v>2</v>
      </c>
      <c r="D715" s="127"/>
      <c r="E715" s="127"/>
      <c r="F715" s="128" t="s">
        <v>573</v>
      </c>
      <c r="G715" s="128"/>
      <c r="H715" s="129"/>
      <c r="I715" s="128"/>
      <c r="J715" s="129"/>
      <c r="K715" s="129"/>
      <c r="L715" s="128"/>
      <c r="M715" s="129"/>
      <c r="N715" s="129"/>
      <c r="O715" s="129"/>
      <c r="P715" s="309"/>
      <c r="Q715" s="309"/>
      <c r="R715" s="309"/>
      <c r="S715" s="309"/>
    </row>
    <row r="716" spans="1:19" ht="24" x14ac:dyDescent="0.25">
      <c r="A716" s="126">
        <v>7</v>
      </c>
      <c r="B716" s="126">
        <v>5</v>
      </c>
      <c r="C716" s="126"/>
      <c r="D716" s="126"/>
      <c r="E716" s="126"/>
      <c r="F716" s="126" t="s">
        <v>574</v>
      </c>
      <c r="G716" s="126"/>
      <c r="H716" s="129"/>
      <c r="I716" s="126"/>
      <c r="J716" s="129"/>
      <c r="K716" s="129"/>
      <c r="L716" s="126"/>
      <c r="M716" s="129"/>
      <c r="N716" s="129"/>
      <c r="O716" s="129"/>
      <c r="P716" s="309"/>
      <c r="Q716" s="309"/>
      <c r="R716" s="309"/>
      <c r="S716" s="309"/>
    </row>
    <row r="717" spans="1:19" ht="24" x14ac:dyDescent="0.25">
      <c r="A717" s="127">
        <v>7</v>
      </c>
      <c r="B717" s="127">
        <v>5</v>
      </c>
      <c r="C717" s="127">
        <v>1</v>
      </c>
      <c r="D717" s="127"/>
      <c r="E717" s="127"/>
      <c r="F717" s="128" t="s">
        <v>575</v>
      </c>
      <c r="G717" s="128"/>
      <c r="H717" s="129"/>
      <c r="I717" s="128"/>
      <c r="J717" s="129"/>
      <c r="K717" s="129"/>
      <c r="L717" s="128"/>
      <c r="M717" s="129"/>
      <c r="N717" s="129"/>
      <c r="O717" s="129"/>
      <c r="P717" s="309"/>
      <c r="Q717" s="309"/>
      <c r="R717" s="309"/>
      <c r="S717" s="309"/>
    </row>
    <row r="718" spans="1:19" ht="24" x14ac:dyDescent="0.25">
      <c r="A718" s="127">
        <v>7</v>
      </c>
      <c r="B718" s="127">
        <v>5</v>
      </c>
      <c r="C718" s="127">
        <v>2</v>
      </c>
      <c r="D718" s="127"/>
      <c r="E718" s="127"/>
      <c r="F718" s="128" t="s">
        <v>576</v>
      </c>
      <c r="G718" s="128"/>
      <c r="H718" s="129"/>
      <c r="I718" s="128"/>
      <c r="J718" s="129"/>
      <c r="K718" s="129"/>
      <c r="L718" s="128"/>
      <c r="M718" s="129"/>
      <c r="N718" s="129"/>
      <c r="O718" s="129"/>
      <c r="P718" s="309"/>
      <c r="Q718" s="309"/>
      <c r="R718" s="309"/>
      <c r="S718" s="309"/>
    </row>
    <row r="719" spans="1:19" x14ac:dyDescent="0.25">
      <c r="A719" s="126">
        <v>7</v>
      </c>
      <c r="B719" s="126">
        <v>6</v>
      </c>
      <c r="C719" s="126"/>
      <c r="D719" s="126"/>
      <c r="E719" s="126"/>
      <c r="F719" s="126" t="s">
        <v>577</v>
      </c>
      <c r="G719" s="126"/>
      <c r="H719" s="129"/>
      <c r="I719" s="126"/>
      <c r="J719" s="129"/>
      <c r="K719" s="129"/>
      <c r="L719" s="126"/>
      <c r="M719" s="129"/>
      <c r="N719" s="129"/>
      <c r="O719" s="129"/>
      <c r="P719" s="309"/>
      <c r="Q719" s="309"/>
      <c r="R719" s="309"/>
      <c r="S719" s="309"/>
    </row>
    <row r="720" spans="1:19" x14ac:dyDescent="0.25">
      <c r="A720" s="127">
        <v>7</v>
      </c>
      <c r="B720" s="127">
        <v>6</v>
      </c>
      <c r="C720" s="127">
        <v>1</v>
      </c>
      <c r="D720" s="127"/>
      <c r="E720" s="127"/>
      <c r="F720" s="128" t="s">
        <v>578</v>
      </c>
      <c r="G720" s="128"/>
      <c r="H720" s="129"/>
      <c r="I720" s="128"/>
      <c r="J720" s="129"/>
      <c r="K720" s="129"/>
      <c r="L720" s="128"/>
      <c r="M720" s="129"/>
      <c r="N720" s="129"/>
      <c r="O720" s="129"/>
      <c r="P720" s="309"/>
      <c r="Q720" s="309"/>
      <c r="R720" s="309"/>
      <c r="S720" s="309"/>
    </row>
    <row r="721" spans="1:19" x14ac:dyDescent="0.25">
      <c r="A721" s="127">
        <v>7</v>
      </c>
      <c r="B721" s="127">
        <v>6</v>
      </c>
      <c r="C721" s="127">
        <v>2</v>
      </c>
      <c r="D721" s="127"/>
      <c r="E721" s="127"/>
      <c r="F721" s="128" t="s">
        <v>579</v>
      </c>
      <c r="G721" s="128"/>
      <c r="H721" s="129"/>
      <c r="I721" s="128"/>
      <c r="J721" s="129"/>
      <c r="K721" s="129"/>
      <c r="L721" s="128"/>
      <c r="M721" s="129"/>
      <c r="N721" s="129"/>
      <c r="O721" s="129"/>
      <c r="P721" s="309"/>
      <c r="Q721" s="309"/>
      <c r="R721" s="309"/>
      <c r="S721" s="309"/>
    </row>
    <row r="722" spans="1:19" x14ac:dyDescent="0.25">
      <c r="A722" s="127">
        <v>7</v>
      </c>
      <c r="B722" s="127">
        <v>6</v>
      </c>
      <c r="C722" s="127">
        <v>3</v>
      </c>
      <c r="D722" s="127"/>
      <c r="E722" s="127"/>
      <c r="F722" s="128" t="s">
        <v>580</v>
      </c>
      <c r="G722" s="128"/>
      <c r="H722" s="129"/>
      <c r="I722" s="128"/>
      <c r="J722" s="129"/>
      <c r="K722" s="129"/>
      <c r="L722" s="128"/>
      <c r="M722" s="129"/>
      <c r="N722" s="129"/>
      <c r="O722" s="129"/>
      <c r="P722" s="309"/>
      <c r="Q722" s="309"/>
      <c r="R722" s="309"/>
      <c r="S722" s="309"/>
    </row>
    <row r="723" spans="1:19" x14ac:dyDescent="0.25">
      <c r="A723" s="127">
        <v>7</v>
      </c>
      <c r="B723" s="127">
        <v>6</v>
      </c>
      <c r="C723" s="127">
        <v>4</v>
      </c>
      <c r="D723" s="127"/>
      <c r="E723" s="127"/>
      <c r="F723" s="128" t="s">
        <v>581</v>
      </c>
      <c r="G723" s="128"/>
      <c r="H723" s="129"/>
      <c r="I723" s="128"/>
      <c r="J723" s="129"/>
      <c r="K723" s="129"/>
      <c r="L723" s="128"/>
      <c r="M723" s="129"/>
      <c r="N723" s="129"/>
      <c r="O723" s="129"/>
      <c r="P723" s="309"/>
      <c r="Q723" s="309"/>
      <c r="R723" s="309"/>
      <c r="S723" s="309"/>
    </row>
    <row r="724" spans="1:19" x14ac:dyDescent="0.25">
      <c r="A724" s="125">
        <v>8</v>
      </c>
      <c r="B724" s="125"/>
      <c r="C724" s="125"/>
      <c r="D724" s="125"/>
      <c r="E724" s="125"/>
      <c r="F724" s="125" t="s">
        <v>582</v>
      </c>
      <c r="G724" s="125"/>
      <c r="H724" s="129"/>
      <c r="I724" s="125"/>
      <c r="J724" s="129"/>
      <c r="K724" s="129"/>
      <c r="L724" s="125"/>
      <c r="M724" s="129"/>
      <c r="N724" s="129"/>
      <c r="O724" s="129"/>
      <c r="P724" s="309"/>
      <c r="Q724" s="309"/>
      <c r="R724" s="309"/>
      <c r="S724" s="309"/>
    </row>
    <row r="725" spans="1:19" x14ac:dyDescent="0.25">
      <c r="A725" s="126">
        <v>8</v>
      </c>
      <c r="B725" s="126">
        <v>1</v>
      </c>
      <c r="C725" s="126"/>
      <c r="D725" s="126"/>
      <c r="E725" s="126"/>
      <c r="F725" s="126" t="s">
        <v>583</v>
      </c>
      <c r="G725" s="126"/>
      <c r="H725" s="129"/>
      <c r="I725" s="126"/>
      <c r="J725" s="129"/>
      <c r="K725" s="129"/>
      <c r="L725" s="126"/>
      <c r="M725" s="129"/>
      <c r="N725" s="129"/>
      <c r="O725" s="129"/>
      <c r="P725" s="309"/>
      <c r="Q725" s="309"/>
      <c r="R725" s="309"/>
      <c r="S725" s="309"/>
    </row>
    <row r="726" spans="1:19" x14ac:dyDescent="0.25">
      <c r="A726" s="127">
        <v>8</v>
      </c>
      <c r="B726" s="127">
        <v>1</v>
      </c>
      <c r="C726" s="127">
        <v>1</v>
      </c>
      <c r="D726" s="127"/>
      <c r="E726" s="127"/>
      <c r="F726" s="127" t="s">
        <v>584</v>
      </c>
      <c r="G726" s="127"/>
      <c r="H726" s="129"/>
      <c r="I726" s="127"/>
      <c r="J726" s="129"/>
      <c r="K726" s="129"/>
      <c r="L726" s="127"/>
      <c r="M726" s="129"/>
      <c r="N726" s="129"/>
      <c r="O726" s="129"/>
      <c r="P726" s="309"/>
      <c r="Q726" s="309"/>
      <c r="R726" s="309"/>
      <c r="S726" s="309"/>
    </row>
    <row r="727" spans="1:19" x14ac:dyDescent="0.25">
      <c r="A727" s="127">
        <v>8</v>
      </c>
      <c r="B727" s="127">
        <v>1</v>
      </c>
      <c r="C727" s="127">
        <v>2</v>
      </c>
      <c r="D727" s="127"/>
      <c r="E727" s="127"/>
      <c r="F727" s="127" t="s">
        <v>585</v>
      </c>
      <c r="G727" s="127"/>
      <c r="H727" s="129"/>
      <c r="I727" s="127"/>
      <c r="J727" s="129"/>
      <c r="K727" s="129"/>
      <c r="L727" s="127"/>
      <c r="M727" s="129"/>
      <c r="N727" s="129"/>
      <c r="O727" s="129"/>
      <c r="P727" s="309"/>
      <c r="Q727" s="309"/>
      <c r="R727" s="309"/>
      <c r="S727" s="309"/>
    </row>
    <row r="728" spans="1:19" x14ac:dyDescent="0.25">
      <c r="A728" s="127">
        <v>8</v>
      </c>
      <c r="B728" s="127">
        <v>1</v>
      </c>
      <c r="C728" s="127">
        <v>3</v>
      </c>
      <c r="D728" s="127"/>
      <c r="E728" s="127"/>
      <c r="F728" s="127" t="s">
        <v>586</v>
      </c>
      <c r="G728" s="127"/>
      <c r="H728" s="129"/>
      <c r="I728" s="127"/>
      <c r="J728" s="129"/>
      <c r="K728" s="129"/>
      <c r="L728" s="127"/>
      <c r="M728" s="129"/>
      <c r="N728" s="129"/>
      <c r="O728" s="129"/>
      <c r="P728" s="309"/>
      <c r="Q728" s="309"/>
      <c r="R728" s="309"/>
      <c r="S728" s="309"/>
    </row>
    <row r="729" spans="1:19" x14ac:dyDescent="0.25">
      <c r="A729" s="127">
        <v>8</v>
      </c>
      <c r="B729" s="127">
        <v>1</v>
      </c>
      <c r="C729" s="127">
        <v>4</v>
      </c>
      <c r="D729" s="127"/>
      <c r="E729" s="127"/>
      <c r="F729" s="127" t="s">
        <v>587</v>
      </c>
      <c r="G729" s="127"/>
      <c r="H729" s="129"/>
      <c r="I729" s="127"/>
      <c r="J729" s="129"/>
      <c r="K729" s="129"/>
      <c r="L729" s="127"/>
      <c r="M729" s="129"/>
      <c r="N729" s="129"/>
      <c r="O729" s="129"/>
      <c r="P729" s="309"/>
      <c r="Q729" s="309"/>
      <c r="R729" s="309"/>
      <c r="S729" s="309"/>
    </row>
    <row r="730" spans="1:19" x14ac:dyDescent="0.25">
      <c r="A730" s="127">
        <v>8</v>
      </c>
      <c r="B730" s="127">
        <v>1</v>
      </c>
      <c r="C730" s="127">
        <v>5</v>
      </c>
      <c r="D730" s="127"/>
      <c r="E730" s="127"/>
      <c r="F730" s="127" t="s">
        <v>588</v>
      </c>
      <c r="G730" s="127"/>
      <c r="H730" s="129"/>
      <c r="I730" s="127"/>
      <c r="J730" s="129"/>
      <c r="K730" s="129"/>
      <c r="L730" s="127"/>
      <c r="M730" s="129"/>
      <c r="N730" s="129"/>
      <c r="O730" s="129"/>
      <c r="P730" s="309"/>
      <c r="Q730" s="309"/>
      <c r="R730" s="309"/>
      <c r="S730" s="309"/>
    </row>
    <row r="731" spans="1:19" x14ac:dyDescent="0.25">
      <c r="A731" s="126">
        <v>8</v>
      </c>
      <c r="B731" s="126">
        <v>2</v>
      </c>
      <c r="C731" s="126"/>
      <c r="D731" s="126"/>
      <c r="E731" s="126"/>
      <c r="F731" s="126" t="s">
        <v>589</v>
      </c>
      <c r="G731" s="126"/>
      <c r="H731" s="129"/>
      <c r="I731" s="126"/>
      <c r="J731" s="129"/>
      <c r="K731" s="129"/>
      <c r="L731" s="126"/>
      <c r="M731" s="129"/>
      <c r="N731" s="129"/>
      <c r="O731" s="129"/>
      <c r="P731" s="309"/>
      <c r="Q731" s="309"/>
      <c r="R731" s="309"/>
      <c r="S731" s="309"/>
    </row>
    <row r="732" spans="1:19" x14ac:dyDescent="0.25">
      <c r="A732" s="127">
        <v>8</v>
      </c>
      <c r="B732" s="127">
        <v>2</v>
      </c>
      <c r="C732" s="127">
        <v>1</v>
      </c>
      <c r="D732" s="127"/>
      <c r="E732" s="127"/>
      <c r="F732" s="127" t="s">
        <v>590</v>
      </c>
      <c r="G732" s="127"/>
      <c r="H732" s="129"/>
      <c r="I732" s="127"/>
      <c r="J732" s="129"/>
      <c r="K732" s="129"/>
      <c r="L732" s="127"/>
      <c r="M732" s="129"/>
      <c r="N732" s="129"/>
      <c r="O732" s="129"/>
      <c r="P732" s="309"/>
      <c r="Q732" s="309"/>
      <c r="R732" s="309"/>
      <c r="S732" s="309"/>
    </row>
    <row r="733" spans="1:19" x14ac:dyDescent="0.25">
      <c r="A733" s="127">
        <v>8</v>
      </c>
      <c r="B733" s="127">
        <v>2</v>
      </c>
      <c r="C733" s="127">
        <v>2</v>
      </c>
      <c r="D733" s="127"/>
      <c r="E733" s="127"/>
      <c r="F733" s="127" t="s">
        <v>591</v>
      </c>
      <c r="G733" s="127"/>
      <c r="H733" s="129"/>
      <c r="I733" s="127"/>
      <c r="J733" s="129"/>
      <c r="K733" s="129"/>
      <c r="L733" s="127"/>
      <c r="M733" s="129"/>
      <c r="N733" s="129"/>
      <c r="O733" s="129"/>
      <c r="P733" s="309"/>
      <c r="Q733" s="309"/>
      <c r="R733" s="309"/>
      <c r="S733" s="309"/>
    </row>
    <row r="734" spans="1:19" x14ac:dyDescent="0.25">
      <c r="A734" s="127">
        <v>8</v>
      </c>
      <c r="B734" s="127">
        <v>2</v>
      </c>
      <c r="C734" s="127">
        <v>3</v>
      </c>
      <c r="D734" s="127"/>
      <c r="E734" s="127"/>
      <c r="F734" s="127" t="s">
        <v>592</v>
      </c>
      <c r="G734" s="127"/>
      <c r="H734" s="129"/>
      <c r="I734" s="127"/>
      <c r="J734" s="129"/>
      <c r="K734" s="129"/>
      <c r="L734" s="127"/>
      <c r="M734" s="129"/>
      <c r="N734" s="129"/>
      <c r="O734" s="129"/>
      <c r="P734" s="309"/>
      <c r="Q734" s="309"/>
      <c r="R734" s="309"/>
      <c r="S734" s="309"/>
    </row>
    <row r="735" spans="1:19" x14ac:dyDescent="0.25">
      <c r="A735" s="127">
        <v>8</v>
      </c>
      <c r="B735" s="127">
        <v>2</v>
      </c>
      <c r="C735" s="127">
        <v>4</v>
      </c>
      <c r="D735" s="127"/>
      <c r="E735" s="127"/>
      <c r="F735" s="127" t="s">
        <v>593</v>
      </c>
      <c r="G735" s="127"/>
      <c r="H735" s="129"/>
      <c r="I735" s="127"/>
      <c r="J735" s="129"/>
      <c r="K735" s="129"/>
      <c r="L735" s="127"/>
      <c r="M735" s="129"/>
      <c r="N735" s="129"/>
      <c r="O735" s="129"/>
      <c r="P735" s="309"/>
      <c r="Q735" s="309"/>
      <c r="R735" s="309"/>
      <c r="S735" s="309"/>
    </row>
    <row r="736" spans="1:19" x14ac:dyDescent="0.25">
      <c r="A736" s="127">
        <v>8</v>
      </c>
      <c r="B736" s="127">
        <v>2</v>
      </c>
      <c r="C736" s="127">
        <v>5</v>
      </c>
      <c r="D736" s="127"/>
      <c r="E736" s="127"/>
      <c r="F736" s="127" t="s">
        <v>594</v>
      </c>
      <c r="G736" s="127"/>
      <c r="H736" s="129"/>
      <c r="I736" s="127"/>
      <c r="J736" s="129"/>
      <c r="K736" s="129"/>
      <c r="L736" s="127"/>
      <c r="M736" s="129"/>
      <c r="N736" s="129"/>
      <c r="O736" s="129"/>
      <c r="P736" s="309"/>
      <c r="Q736" s="309"/>
      <c r="R736" s="309"/>
      <c r="S736" s="309"/>
    </row>
    <row r="737" spans="1:19" x14ac:dyDescent="0.25">
      <c r="A737" s="127">
        <v>8</v>
      </c>
      <c r="B737" s="127">
        <v>2</v>
      </c>
      <c r="C737" s="127">
        <v>6</v>
      </c>
      <c r="D737" s="127"/>
      <c r="E737" s="127"/>
      <c r="F737" s="127" t="s">
        <v>595</v>
      </c>
      <c r="G737" s="127"/>
      <c r="H737" s="129"/>
      <c r="I737" s="127"/>
      <c r="J737" s="129"/>
      <c r="K737" s="129"/>
      <c r="L737" s="127"/>
      <c r="M737" s="129"/>
      <c r="N737" s="129"/>
      <c r="O737" s="129"/>
      <c r="P737" s="309"/>
      <c r="Q737" s="309"/>
      <c r="R737" s="309"/>
      <c r="S737" s="309"/>
    </row>
    <row r="738" spans="1:19" x14ac:dyDescent="0.25">
      <c r="A738" s="127">
        <v>8</v>
      </c>
      <c r="B738" s="127">
        <v>2</v>
      </c>
      <c r="C738" s="127">
        <v>7</v>
      </c>
      <c r="D738" s="127"/>
      <c r="E738" s="127"/>
      <c r="F738" s="127" t="s">
        <v>596</v>
      </c>
      <c r="G738" s="127"/>
      <c r="H738" s="129"/>
      <c r="I738" s="127"/>
      <c r="J738" s="129"/>
      <c r="K738" s="129"/>
      <c r="L738" s="127"/>
      <c r="M738" s="129"/>
      <c r="N738" s="129"/>
      <c r="O738" s="129"/>
      <c r="P738" s="309"/>
      <c r="Q738" s="309"/>
      <c r="R738" s="309"/>
      <c r="S738" s="309"/>
    </row>
    <row r="739" spans="1:19" x14ac:dyDescent="0.25">
      <c r="A739" s="125">
        <v>9</v>
      </c>
      <c r="B739" s="125"/>
      <c r="C739" s="125"/>
      <c r="D739" s="125"/>
      <c r="E739" s="125"/>
      <c r="F739" s="125" t="s">
        <v>597</v>
      </c>
      <c r="G739" s="125"/>
      <c r="H739" s="129"/>
      <c r="I739" s="125"/>
      <c r="J739" s="129"/>
      <c r="K739" s="129"/>
      <c r="L739" s="125"/>
      <c r="M739" s="129"/>
      <c r="N739" s="129"/>
      <c r="O739" s="129"/>
      <c r="P739" s="309"/>
      <c r="Q739" s="309"/>
      <c r="R739" s="309"/>
      <c r="S739" s="309"/>
    </row>
    <row r="740" spans="1:19" x14ac:dyDescent="0.25">
      <c r="A740" s="126">
        <v>9</v>
      </c>
      <c r="B740" s="126">
        <v>1</v>
      </c>
      <c r="C740" s="126"/>
      <c r="D740" s="126"/>
      <c r="E740" s="126"/>
      <c r="F740" s="126" t="s">
        <v>598</v>
      </c>
      <c r="G740" s="126"/>
      <c r="H740" s="129"/>
      <c r="I740" s="126"/>
      <c r="J740" s="129"/>
      <c r="K740" s="129"/>
      <c r="L740" s="126"/>
      <c r="M740" s="129"/>
      <c r="N740" s="129"/>
      <c r="O740" s="129"/>
      <c r="P740" s="309"/>
      <c r="Q740" s="309"/>
      <c r="R740" s="309"/>
      <c r="S740" s="309"/>
    </row>
    <row r="741" spans="1:19" x14ac:dyDescent="0.25">
      <c r="A741" s="126">
        <v>9</v>
      </c>
      <c r="B741" s="126">
        <v>2</v>
      </c>
      <c r="C741" s="126"/>
      <c r="D741" s="126"/>
      <c r="E741" s="126"/>
      <c r="F741" s="126" t="s">
        <v>599</v>
      </c>
      <c r="G741" s="126"/>
      <c r="H741" s="129"/>
      <c r="I741" s="126"/>
      <c r="J741" s="129"/>
      <c r="K741" s="129"/>
      <c r="L741" s="126"/>
      <c r="M741" s="129"/>
      <c r="N741" s="129"/>
      <c r="O741" s="129"/>
      <c r="P741" s="309"/>
      <c r="Q741" s="309"/>
      <c r="R741" s="309"/>
      <c r="S741" s="309"/>
    </row>
    <row r="742" spans="1:19" x14ac:dyDescent="0.25">
      <c r="A742" s="345">
        <v>9</v>
      </c>
      <c r="B742" s="345">
        <v>3</v>
      </c>
      <c r="C742" s="345"/>
      <c r="D742" s="345"/>
      <c r="E742" s="345"/>
      <c r="F742" s="345" t="s">
        <v>600</v>
      </c>
      <c r="G742" s="345"/>
      <c r="H742" s="129"/>
      <c r="I742" s="345"/>
      <c r="J742" s="129"/>
      <c r="K742" s="129"/>
      <c r="L742" s="345"/>
      <c r="M742" s="129"/>
      <c r="N742" s="129"/>
      <c r="O742" s="129"/>
      <c r="P742" s="309"/>
      <c r="Q742" s="309"/>
      <c r="R742" s="309"/>
      <c r="S742" s="309"/>
    </row>
    <row r="743" spans="1:19" x14ac:dyDescent="0.25">
      <c r="A743" s="309"/>
      <c r="B743" s="309"/>
      <c r="C743" s="309"/>
      <c r="D743" s="309"/>
      <c r="E743" s="309"/>
      <c r="F743" s="309"/>
      <c r="G743" s="309"/>
      <c r="H743" s="309"/>
      <c r="I743" s="309"/>
      <c r="J743" s="309"/>
      <c r="K743" s="309"/>
      <c r="L743" s="309"/>
      <c r="M743" s="309"/>
      <c r="N743" s="309"/>
      <c r="O743" s="309"/>
      <c r="P743" s="309"/>
      <c r="Q743" s="309"/>
      <c r="R743" s="309"/>
      <c r="S743" s="309"/>
    </row>
    <row r="744" spans="1:19" x14ac:dyDescent="0.25">
      <c r="A744" s="309"/>
      <c r="B744" s="309"/>
      <c r="C744" s="309"/>
      <c r="D744" s="309"/>
      <c r="E744" s="309"/>
      <c r="F744" s="309"/>
      <c r="G744" s="309"/>
      <c r="H744" s="309"/>
      <c r="I744" s="309"/>
      <c r="J744" s="309"/>
      <c r="K744" s="309"/>
      <c r="L744" s="309"/>
      <c r="M744" s="309"/>
      <c r="N744" s="309"/>
      <c r="O744" s="309"/>
      <c r="P744" s="309"/>
      <c r="Q744" s="309"/>
      <c r="R744" s="309"/>
      <c r="S744" s="309"/>
    </row>
    <row r="745" spans="1:19" x14ac:dyDescent="0.25">
      <c r="A745" s="344">
        <v>1</v>
      </c>
      <c r="B745" s="344" t="s">
        <v>601</v>
      </c>
      <c r="C745" s="344" t="s">
        <v>602</v>
      </c>
      <c r="D745" s="344" t="s">
        <v>603</v>
      </c>
      <c r="E745" s="344"/>
      <c r="F745" s="309"/>
      <c r="G745" s="309"/>
      <c r="H745" s="309"/>
      <c r="I745" s="309"/>
      <c r="J745" s="309"/>
      <c r="K745" s="309"/>
      <c r="L745" s="309"/>
      <c r="M745" s="309"/>
      <c r="N745" s="309"/>
      <c r="O745" s="309"/>
      <c r="P745" s="309"/>
      <c r="Q745" s="309"/>
      <c r="R745" s="309"/>
      <c r="S745" s="309"/>
    </row>
  </sheetData>
  <mergeCells count="2">
    <mergeCell ref="L1:O1"/>
    <mergeCell ref="G1:J1"/>
  </mergeCells>
  <hyperlinks>
    <hyperlink ref="A691" location="_ftn1" display="_ftn1"/>
    <hyperlink ref="A745" location="_ftnref1" display="_ftnref1"/>
  </hyperlinks>
  <pageMargins left="0" right="0" top="0" bottom="0" header="0" footer="0"/>
  <pageSetup scale="80" orientation="portrait" r:id="rId1"/>
  <ignoredErrors>
    <ignoredError sqref="O536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309"/>
      <c r="B1" s="309"/>
      <c r="C1" s="309"/>
      <c r="D1" s="309"/>
      <c r="E1" s="309"/>
      <c r="F1" s="309"/>
      <c r="G1" s="695">
        <v>2016</v>
      </c>
      <c r="H1" s="695"/>
      <c r="I1" s="695"/>
      <c r="J1" s="695"/>
      <c r="K1" s="545"/>
      <c r="L1" s="309"/>
    </row>
    <row r="2" spans="1:12" x14ac:dyDescent="0.25">
      <c r="A2" s="309"/>
      <c r="B2" s="309"/>
      <c r="C2" s="309"/>
      <c r="D2" s="309"/>
      <c r="E2" s="309"/>
      <c r="F2" s="309"/>
      <c r="G2" s="545" t="s">
        <v>3</v>
      </c>
      <c r="H2" s="545" t="s">
        <v>743</v>
      </c>
      <c r="I2" s="545" t="s">
        <v>744</v>
      </c>
      <c r="J2" s="545" t="s">
        <v>745</v>
      </c>
      <c r="K2" s="545"/>
      <c r="L2" s="309"/>
    </row>
    <row r="3" spans="1:12" x14ac:dyDescent="0.25">
      <c r="A3" s="125">
        <v>1</v>
      </c>
      <c r="B3" s="125"/>
      <c r="C3" s="125"/>
      <c r="D3" s="125"/>
      <c r="E3" s="125"/>
      <c r="F3" s="125" t="s">
        <v>243</v>
      </c>
      <c r="G3" s="154">
        <f>+G4+G92</f>
        <v>13156894.779999999</v>
      </c>
      <c r="H3" s="154">
        <f>+H4+H92</f>
        <v>4817050</v>
      </c>
      <c r="I3" s="154">
        <f>+I4+I92</f>
        <v>10488766.75</v>
      </c>
      <c r="J3" s="154">
        <f>+J4+J92</f>
        <v>8867512.0299999993</v>
      </c>
      <c r="K3" s="154"/>
      <c r="L3" s="309"/>
    </row>
    <row r="4" spans="1:12" x14ac:dyDescent="0.25">
      <c r="A4" s="126">
        <v>1</v>
      </c>
      <c r="B4" s="126">
        <v>1</v>
      </c>
      <c r="C4" s="126"/>
      <c r="D4" s="126"/>
      <c r="E4" s="126"/>
      <c r="F4" s="126" t="s">
        <v>244</v>
      </c>
      <c r="G4" s="150">
        <f>+G5+G39+G71+G77+G83+G85+G88</f>
        <v>9755586.8399999999</v>
      </c>
      <c r="H4" s="150">
        <f>+H5+H39+H71+H77+H83+H85+H88</f>
        <v>4817050</v>
      </c>
      <c r="I4" s="150">
        <f>+I5+I39+I71+I77+I83+I85+I88</f>
        <v>10306768</v>
      </c>
      <c r="J4" s="150">
        <f>+J5+J39+J71+J77+J83+J85+J88</f>
        <v>5648202.8399999999</v>
      </c>
      <c r="K4" s="150"/>
      <c r="L4" s="309"/>
    </row>
    <row r="5" spans="1:12" x14ac:dyDescent="0.25">
      <c r="A5" s="132">
        <v>1</v>
      </c>
      <c r="B5" s="132">
        <v>1</v>
      </c>
      <c r="C5" s="132">
        <v>1</v>
      </c>
      <c r="D5" s="132"/>
      <c r="E5" s="132"/>
      <c r="F5" s="135" t="s">
        <v>99</v>
      </c>
      <c r="G5" s="131">
        <f>+G7+G34+G35+G36+G37+G38</f>
        <v>9739632</v>
      </c>
      <c r="H5" s="131">
        <f>+H7+H34+H35+H36+H37+H38</f>
        <v>4801684</v>
      </c>
      <c r="I5" s="131">
        <f>+I7+I34+I35+I36+I37+I38</f>
        <v>10304705</v>
      </c>
      <c r="J5" s="131">
        <f>+J7+J34+J35+J36+J37+J38</f>
        <v>5618945</v>
      </c>
      <c r="K5" s="131"/>
      <c r="L5" s="309"/>
    </row>
    <row r="6" spans="1:12" x14ac:dyDescent="0.25">
      <c r="A6" s="127">
        <v>1</v>
      </c>
      <c r="B6" s="127">
        <v>1</v>
      </c>
      <c r="C6" s="127">
        <v>1</v>
      </c>
      <c r="D6" s="127">
        <v>1</v>
      </c>
      <c r="E6" s="127"/>
      <c r="F6" s="127" t="s">
        <v>245</v>
      </c>
      <c r="G6" s="127"/>
      <c r="H6" s="127"/>
      <c r="I6" s="127"/>
      <c r="J6" s="129"/>
      <c r="K6" s="129"/>
      <c r="L6" s="309"/>
    </row>
    <row r="7" spans="1:12" x14ac:dyDescent="0.25">
      <c r="A7" s="138">
        <v>1</v>
      </c>
      <c r="B7" s="138">
        <v>1</v>
      </c>
      <c r="C7" s="138">
        <v>1</v>
      </c>
      <c r="D7" s="138">
        <v>2</v>
      </c>
      <c r="E7" s="138"/>
      <c r="F7" s="138" t="s">
        <v>246</v>
      </c>
      <c r="G7" s="139">
        <f>SUM(G8:G33)</f>
        <v>9739632</v>
      </c>
      <c r="H7" s="139">
        <f>SUM(H8:H29)</f>
        <v>4801684</v>
      </c>
      <c r="I7" s="139">
        <f>SUM(I8:I29)</f>
        <v>10304705</v>
      </c>
      <c r="J7" s="139">
        <f>SUM(J8:J33)</f>
        <v>5618945</v>
      </c>
      <c r="K7" s="139"/>
      <c r="L7" s="309"/>
    </row>
    <row r="8" spans="1:12" x14ac:dyDescent="0.25">
      <c r="A8" s="127"/>
      <c r="B8" s="127"/>
      <c r="C8" s="127"/>
      <c r="D8" s="127"/>
      <c r="E8" s="127">
        <v>1</v>
      </c>
      <c r="F8" s="127" t="s">
        <v>604</v>
      </c>
      <c r="G8" s="140">
        <v>24465</v>
      </c>
      <c r="H8" s="140">
        <f>112400+2500+0</f>
        <v>114900</v>
      </c>
      <c r="I8" s="140">
        <f>132623+6742+0</f>
        <v>139365</v>
      </c>
      <c r="J8" s="129">
        <f>+G8+H8-I8</f>
        <v>0</v>
      </c>
      <c r="K8" s="129"/>
      <c r="L8" s="309"/>
    </row>
    <row r="9" spans="1:12" x14ac:dyDescent="0.25">
      <c r="A9" s="127"/>
      <c r="B9" s="127"/>
      <c r="C9" s="127"/>
      <c r="D9" s="127"/>
      <c r="E9" s="127">
        <v>2</v>
      </c>
      <c r="F9" s="127" t="s">
        <v>605</v>
      </c>
      <c r="G9" s="140">
        <v>20728</v>
      </c>
      <c r="H9" s="140">
        <f>0+0+0</f>
        <v>0</v>
      </c>
      <c r="I9" s="140">
        <f>5466+15262</f>
        <v>20728</v>
      </c>
      <c r="J9" s="129">
        <f>+G9+H9-I9</f>
        <v>0</v>
      </c>
      <c r="K9" s="129"/>
      <c r="L9" s="309"/>
    </row>
    <row r="10" spans="1:12" hidden="1" x14ac:dyDescent="0.25">
      <c r="A10" s="127"/>
      <c r="B10" s="127"/>
      <c r="C10" s="127"/>
      <c r="D10" s="127"/>
      <c r="E10" s="127">
        <v>3</v>
      </c>
      <c r="F10" s="127" t="s">
        <v>606</v>
      </c>
      <c r="G10" s="140">
        <v>0</v>
      </c>
      <c r="H10" s="140"/>
      <c r="I10" s="140"/>
      <c r="J10" s="129">
        <f t="shared" ref="J10:J33" si="0">+G10+H10-I10</f>
        <v>0</v>
      </c>
      <c r="K10" s="129"/>
      <c r="L10" s="309"/>
    </row>
    <row r="11" spans="1:12" x14ac:dyDescent="0.25">
      <c r="A11" s="127"/>
      <c r="B11" s="127"/>
      <c r="C11" s="127"/>
      <c r="D11" s="127"/>
      <c r="E11" s="127">
        <v>4</v>
      </c>
      <c r="F11" s="127" t="s">
        <v>607</v>
      </c>
      <c r="G11" s="140">
        <v>23465</v>
      </c>
      <c r="H11" s="140">
        <f>1384+137+0-1</f>
        <v>1520</v>
      </c>
      <c r="I11" s="140">
        <f>0+0+1301</f>
        <v>1301</v>
      </c>
      <c r="J11" s="129">
        <f t="shared" si="0"/>
        <v>23684</v>
      </c>
      <c r="K11" s="129"/>
      <c r="L11" s="309"/>
    </row>
    <row r="12" spans="1:12" hidden="1" x14ac:dyDescent="0.25">
      <c r="A12" s="127"/>
      <c r="B12" s="127"/>
      <c r="C12" s="127"/>
      <c r="D12" s="127"/>
      <c r="E12" s="127">
        <v>5</v>
      </c>
      <c r="F12" s="127" t="s">
        <v>608</v>
      </c>
      <c r="G12" s="140">
        <v>0</v>
      </c>
      <c r="H12" s="140"/>
      <c r="I12" s="140"/>
      <c r="J12" s="129">
        <f t="shared" si="0"/>
        <v>0</v>
      </c>
      <c r="K12" s="129"/>
      <c r="L12" s="309"/>
    </row>
    <row r="13" spans="1:12" hidden="1" x14ac:dyDescent="0.25">
      <c r="A13" s="127"/>
      <c r="B13" s="127"/>
      <c r="C13" s="127"/>
      <c r="D13" s="127"/>
      <c r="E13" s="127">
        <v>9</v>
      </c>
      <c r="F13" s="127" t="s">
        <v>753</v>
      </c>
      <c r="G13" s="140">
        <v>0</v>
      </c>
      <c r="H13" s="140"/>
      <c r="I13" s="140"/>
      <c r="J13" s="129">
        <f t="shared" si="0"/>
        <v>0</v>
      </c>
      <c r="K13" s="129"/>
      <c r="L13" s="309"/>
    </row>
    <row r="14" spans="1:12" hidden="1" x14ac:dyDescent="0.25">
      <c r="A14" s="127"/>
      <c r="B14" s="127"/>
      <c r="C14" s="127"/>
      <c r="D14" s="127"/>
      <c r="E14" s="127">
        <v>11</v>
      </c>
      <c r="F14" s="127" t="s">
        <v>609</v>
      </c>
      <c r="G14" s="140">
        <v>0</v>
      </c>
      <c r="H14" s="140"/>
      <c r="I14" s="140"/>
      <c r="J14" s="129">
        <f t="shared" si="0"/>
        <v>0</v>
      </c>
      <c r="K14" s="129"/>
      <c r="L14" s="309"/>
    </row>
    <row r="15" spans="1:12" x14ac:dyDescent="0.25">
      <c r="A15" s="127"/>
      <c r="B15" s="127"/>
      <c r="C15" s="127"/>
      <c r="D15" s="127"/>
      <c r="E15" s="127">
        <v>16</v>
      </c>
      <c r="F15" s="127" t="s">
        <v>610</v>
      </c>
      <c r="G15" s="140">
        <v>1358007</v>
      </c>
      <c r="H15" s="140">
        <f>0+0+0</f>
        <v>0</v>
      </c>
      <c r="I15" s="140">
        <f>361868+95327+155463</f>
        <v>612658</v>
      </c>
      <c r="J15" s="129">
        <f t="shared" si="0"/>
        <v>745349</v>
      </c>
      <c r="K15" s="129"/>
      <c r="L15" s="309"/>
    </row>
    <row r="16" spans="1:12" hidden="1" x14ac:dyDescent="0.25">
      <c r="A16" s="127"/>
      <c r="B16" s="127"/>
      <c r="C16" s="127"/>
      <c r="D16" s="127"/>
      <c r="E16" s="127">
        <v>17</v>
      </c>
      <c r="F16" s="127" t="s">
        <v>611</v>
      </c>
      <c r="G16" s="140">
        <v>0</v>
      </c>
      <c r="H16" s="140"/>
      <c r="I16" s="140"/>
      <c r="J16" s="129">
        <f t="shared" si="0"/>
        <v>0</v>
      </c>
      <c r="K16" s="129"/>
      <c r="L16" s="309"/>
    </row>
    <row r="17" spans="1:12" hidden="1" x14ac:dyDescent="0.25">
      <c r="A17" s="127"/>
      <c r="B17" s="127"/>
      <c r="C17" s="127"/>
      <c r="D17" s="127"/>
      <c r="E17" s="127">
        <v>18</v>
      </c>
      <c r="F17" s="127" t="s">
        <v>612</v>
      </c>
      <c r="G17" s="140">
        <v>0</v>
      </c>
      <c r="H17" s="140"/>
      <c r="I17" s="140"/>
      <c r="J17" s="129">
        <f t="shared" si="0"/>
        <v>0</v>
      </c>
      <c r="K17" s="129"/>
      <c r="L17" s="309"/>
    </row>
    <row r="18" spans="1:12" hidden="1" x14ac:dyDescent="0.25">
      <c r="A18" s="127"/>
      <c r="B18" s="127"/>
      <c r="C18" s="127"/>
      <c r="D18" s="127"/>
      <c r="E18" s="127">
        <v>19</v>
      </c>
      <c r="F18" s="127" t="s">
        <v>613</v>
      </c>
      <c r="G18" s="140">
        <v>0</v>
      </c>
      <c r="H18" s="140"/>
      <c r="I18" s="140"/>
      <c r="J18" s="129">
        <f t="shared" si="0"/>
        <v>0</v>
      </c>
      <c r="K18" s="129"/>
      <c r="L18" s="309"/>
    </row>
    <row r="19" spans="1:12" hidden="1" x14ac:dyDescent="0.25">
      <c r="A19" s="127"/>
      <c r="B19" s="127"/>
      <c r="C19" s="127"/>
      <c r="D19" s="127"/>
      <c r="E19" s="127">
        <v>20</v>
      </c>
      <c r="F19" s="127" t="s">
        <v>843</v>
      </c>
      <c r="G19" s="140">
        <v>0</v>
      </c>
      <c r="H19" s="140"/>
      <c r="I19" s="140"/>
      <c r="J19" s="129">
        <f t="shared" si="0"/>
        <v>0</v>
      </c>
      <c r="K19" s="129"/>
      <c r="L19" s="309"/>
    </row>
    <row r="20" spans="1:12" hidden="1" x14ac:dyDescent="0.25">
      <c r="A20" s="127"/>
      <c r="B20" s="127"/>
      <c r="C20" s="127"/>
      <c r="D20" s="127"/>
      <c r="E20" s="127">
        <v>21</v>
      </c>
      <c r="F20" s="127" t="s">
        <v>842</v>
      </c>
      <c r="G20" s="140">
        <v>0</v>
      </c>
      <c r="H20" s="129"/>
      <c r="I20" s="129"/>
      <c r="J20" s="129">
        <f t="shared" si="0"/>
        <v>0</v>
      </c>
      <c r="K20" s="129"/>
      <c r="L20" s="309"/>
    </row>
    <row r="21" spans="1:12" hidden="1" x14ac:dyDescent="0.25">
      <c r="A21" s="127"/>
      <c r="B21" s="127"/>
      <c r="C21" s="127"/>
      <c r="D21" s="127"/>
      <c r="E21" s="127">
        <v>23</v>
      </c>
      <c r="F21" s="127" t="s">
        <v>615</v>
      </c>
      <c r="G21" s="140">
        <v>0</v>
      </c>
      <c r="H21" s="140"/>
      <c r="I21" s="140"/>
      <c r="J21" s="129">
        <f t="shared" si="0"/>
        <v>0</v>
      </c>
      <c r="K21" s="129"/>
      <c r="L21" s="309"/>
    </row>
    <row r="22" spans="1:12" hidden="1" x14ac:dyDescent="0.25">
      <c r="A22" s="127"/>
      <c r="B22" s="127"/>
      <c r="C22" s="127"/>
      <c r="D22" s="127"/>
      <c r="E22" s="127">
        <v>25</v>
      </c>
      <c r="F22" s="127" t="s">
        <v>614</v>
      </c>
      <c r="G22" s="140">
        <v>0</v>
      </c>
      <c r="H22" s="140"/>
      <c r="I22" s="140"/>
      <c r="J22" s="129">
        <f t="shared" si="0"/>
        <v>0</v>
      </c>
      <c r="K22" s="129"/>
      <c r="L22" s="309"/>
    </row>
    <row r="23" spans="1:12" hidden="1" x14ac:dyDescent="0.25">
      <c r="A23" s="127"/>
      <c r="B23" s="127"/>
      <c r="C23" s="127"/>
      <c r="D23" s="127"/>
      <c r="E23" s="127">
        <v>26</v>
      </c>
      <c r="F23" s="127" t="s">
        <v>616</v>
      </c>
      <c r="G23" s="140">
        <v>0</v>
      </c>
      <c r="H23" s="140"/>
      <c r="I23" s="140"/>
      <c r="J23" s="129">
        <f t="shared" si="0"/>
        <v>0</v>
      </c>
      <c r="K23" s="129"/>
      <c r="L23" s="309"/>
    </row>
    <row r="24" spans="1:12" x14ac:dyDescent="0.25">
      <c r="A24" s="127"/>
      <c r="B24" s="127"/>
      <c r="C24" s="127"/>
      <c r="D24" s="127"/>
      <c r="E24" s="127">
        <v>27</v>
      </c>
      <c r="F24" s="127" t="s">
        <v>845</v>
      </c>
      <c r="G24" s="140">
        <v>24</v>
      </c>
      <c r="H24" s="140">
        <v>0</v>
      </c>
      <c r="I24" s="140">
        <f>24</f>
        <v>24</v>
      </c>
      <c r="J24" s="129">
        <f t="shared" si="0"/>
        <v>0</v>
      </c>
      <c r="K24" s="129"/>
      <c r="L24" s="309"/>
    </row>
    <row r="25" spans="1:12" x14ac:dyDescent="0.25">
      <c r="A25" s="127"/>
      <c r="B25" s="127"/>
      <c r="C25" s="127"/>
      <c r="D25" s="127"/>
      <c r="E25" s="127">
        <v>28</v>
      </c>
      <c r="F25" s="127" t="s">
        <v>1122</v>
      </c>
      <c r="G25" s="140">
        <v>100000</v>
      </c>
      <c r="H25" s="140">
        <v>0</v>
      </c>
      <c r="I25" s="140">
        <v>0</v>
      </c>
      <c r="J25" s="129">
        <f t="shared" si="0"/>
        <v>100000</v>
      </c>
      <c r="K25" s="129"/>
      <c r="L25" s="309"/>
    </row>
    <row r="26" spans="1:12" x14ac:dyDescent="0.25">
      <c r="A26" s="127"/>
      <c r="B26" s="127"/>
      <c r="C26" s="127"/>
      <c r="D26" s="127"/>
      <c r="E26" s="127">
        <v>29</v>
      </c>
      <c r="F26" s="127" t="s">
        <v>1123</v>
      </c>
      <c r="G26" s="140">
        <v>6669089</v>
      </c>
      <c r="H26" s="140">
        <f>66+3654076+59</f>
        <v>3654201</v>
      </c>
      <c r="I26" s="140">
        <f>3890400+0+4126816</f>
        <v>8017216</v>
      </c>
      <c r="J26" s="129">
        <f>+G26+H26-I26</f>
        <v>2306074</v>
      </c>
      <c r="K26" s="129"/>
      <c r="L26" s="309"/>
    </row>
    <row r="27" spans="1:12" hidden="1" x14ac:dyDescent="0.25">
      <c r="A27" s="127"/>
      <c r="B27" s="127"/>
      <c r="C27" s="127"/>
      <c r="D27" s="127"/>
      <c r="E27" s="127">
        <v>30</v>
      </c>
      <c r="F27" s="127" t="s">
        <v>1124</v>
      </c>
      <c r="G27" s="140">
        <v>0</v>
      </c>
      <c r="H27" s="140"/>
      <c r="I27" s="140"/>
      <c r="J27" s="129">
        <f t="shared" ref="J27:J28" si="1">+G27+H27-I27</f>
        <v>0</v>
      </c>
      <c r="K27" s="129"/>
      <c r="L27" s="309"/>
    </row>
    <row r="28" spans="1:12" x14ac:dyDescent="0.25">
      <c r="A28" s="127"/>
      <c r="B28" s="127"/>
      <c r="C28" s="127"/>
      <c r="D28" s="127"/>
      <c r="E28" s="127">
        <v>31</v>
      </c>
      <c r="F28" s="127" t="s">
        <v>1238</v>
      </c>
      <c r="G28" s="140">
        <v>550202</v>
      </c>
      <c r="H28" s="140">
        <f>5+5+4</f>
        <v>14</v>
      </c>
      <c r="I28" s="140">
        <f>1100+1302+25236</f>
        <v>27638</v>
      </c>
      <c r="J28" s="129">
        <f t="shared" si="1"/>
        <v>522578</v>
      </c>
      <c r="K28" s="129"/>
      <c r="L28" s="309"/>
    </row>
    <row r="29" spans="1:12" x14ac:dyDescent="0.25">
      <c r="A29" s="127"/>
      <c r="B29" s="127"/>
      <c r="C29" s="127"/>
      <c r="D29" s="127"/>
      <c r="E29" s="127">
        <v>32</v>
      </c>
      <c r="F29" s="127" t="s">
        <v>1238</v>
      </c>
      <c r="G29" s="140">
        <v>993652</v>
      </c>
      <c r="H29" s="140">
        <f>620018+180024+231007</f>
        <v>1031049</v>
      </c>
      <c r="I29" s="140">
        <f>465108+677762+342905</f>
        <v>1485775</v>
      </c>
      <c r="J29" s="129">
        <f t="shared" si="0"/>
        <v>538926</v>
      </c>
      <c r="K29" s="129"/>
      <c r="L29" s="309"/>
    </row>
    <row r="30" spans="1:12" x14ac:dyDescent="0.25">
      <c r="A30" s="127"/>
      <c r="B30" s="127"/>
      <c r="C30" s="127"/>
      <c r="D30" s="127"/>
      <c r="E30" s="127">
        <v>33</v>
      </c>
      <c r="F30" s="127" t="s">
        <v>1247</v>
      </c>
      <c r="G30" s="140"/>
      <c r="H30" s="140">
        <f>114380+341045+199411+1</f>
        <v>654837</v>
      </c>
      <c r="I30" s="140">
        <f>59641+355462+224517</f>
        <v>639620</v>
      </c>
      <c r="J30" s="129">
        <f t="shared" si="0"/>
        <v>15217</v>
      </c>
      <c r="K30" s="129"/>
      <c r="L30" s="309"/>
    </row>
    <row r="31" spans="1:12" x14ac:dyDescent="0.25">
      <c r="A31" s="127"/>
      <c r="B31" s="127"/>
      <c r="C31" s="127"/>
      <c r="D31" s="127"/>
      <c r="E31" s="127">
        <v>34</v>
      </c>
      <c r="F31" s="127" t="s">
        <v>1248</v>
      </c>
      <c r="G31" s="140"/>
      <c r="H31" s="140">
        <f>851000+852000+1158739+1</f>
        <v>2861740</v>
      </c>
      <c r="I31" s="140">
        <f>746277+871432+1157176</f>
        <v>2774885</v>
      </c>
      <c r="J31" s="129">
        <f t="shared" si="0"/>
        <v>86855</v>
      </c>
      <c r="K31" s="129"/>
      <c r="L31" s="309"/>
    </row>
    <row r="32" spans="1:12" x14ac:dyDescent="0.25">
      <c r="A32" s="127"/>
      <c r="B32" s="127"/>
      <c r="C32" s="127"/>
      <c r="D32" s="127"/>
      <c r="E32" s="127">
        <v>35</v>
      </c>
      <c r="F32" s="127" t="s">
        <v>1249</v>
      </c>
      <c r="G32" s="140"/>
      <c r="H32" s="140">
        <f>2620000+0+0</f>
        <v>2620000</v>
      </c>
      <c r="I32" s="140">
        <f>280597+0+2103493-1</f>
        <v>2384089</v>
      </c>
      <c r="J32" s="129">
        <f t="shared" si="0"/>
        <v>235911</v>
      </c>
      <c r="K32" s="129"/>
      <c r="L32" s="309"/>
    </row>
    <row r="33" spans="1:12" x14ac:dyDescent="0.25">
      <c r="A33" s="127"/>
      <c r="B33" s="127"/>
      <c r="C33" s="127"/>
      <c r="D33" s="127"/>
      <c r="E33" s="127">
        <v>36</v>
      </c>
      <c r="F33" s="127" t="s">
        <v>1250</v>
      </c>
      <c r="G33" s="140"/>
      <c r="H33" s="140">
        <f>2985000+0+0</f>
        <v>2985000</v>
      </c>
      <c r="I33" s="140">
        <f>1097513+453883+389253</f>
        <v>1940649</v>
      </c>
      <c r="J33" s="129">
        <f t="shared" si="0"/>
        <v>1044351</v>
      </c>
      <c r="K33" s="129"/>
      <c r="L33" s="309"/>
    </row>
    <row r="34" spans="1:12" x14ac:dyDescent="0.25">
      <c r="A34" s="127">
        <v>1</v>
      </c>
      <c r="B34" s="127">
        <v>1</v>
      </c>
      <c r="C34" s="127">
        <v>1</v>
      </c>
      <c r="D34" s="127">
        <v>3</v>
      </c>
      <c r="E34" s="127"/>
      <c r="F34" s="127" t="s">
        <v>247</v>
      </c>
      <c r="G34" s="127"/>
      <c r="H34" s="127"/>
      <c r="I34" s="127"/>
      <c r="J34" s="129"/>
      <c r="K34" s="129"/>
      <c r="L34" s="309"/>
    </row>
    <row r="35" spans="1:12" x14ac:dyDescent="0.25">
      <c r="A35" s="127">
        <v>1</v>
      </c>
      <c r="B35" s="127">
        <v>1</v>
      </c>
      <c r="C35" s="127">
        <v>1</v>
      </c>
      <c r="D35" s="127">
        <v>4</v>
      </c>
      <c r="E35" s="127"/>
      <c r="F35" s="127" t="s">
        <v>248</v>
      </c>
      <c r="G35" s="127"/>
      <c r="H35" s="127"/>
      <c r="I35" s="127"/>
      <c r="J35" s="129"/>
      <c r="K35" s="129"/>
      <c r="L35" s="309"/>
    </row>
    <row r="36" spans="1:12" x14ac:dyDescent="0.25">
      <c r="A36" s="127">
        <v>1</v>
      </c>
      <c r="B36" s="127">
        <v>1</v>
      </c>
      <c r="C36" s="127">
        <v>1</v>
      </c>
      <c r="D36" s="127">
        <v>5</v>
      </c>
      <c r="E36" s="127"/>
      <c r="F36" s="127" t="s">
        <v>249</v>
      </c>
      <c r="G36" s="127"/>
      <c r="H36" s="127"/>
      <c r="I36" s="127"/>
      <c r="J36" s="129"/>
      <c r="K36" s="129"/>
      <c r="L36" s="309"/>
    </row>
    <row r="37" spans="1:12" ht="24" x14ac:dyDescent="0.25">
      <c r="A37" s="127">
        <v>1</v>
      </c>
      <c r="B37" s="127">
        <v>1</v>
      </c>
      <c r="C37" s="127">
        <v>1</v>
      </c>
      <c r="D37" s="127">
        <v>6</v>
      </c>
      <c r="E37" s="127"/>
      <c r="F37" s="127" t="s">
        <v>250</v>
      </c>
      <c r="G37" s="127"/>
      <c r="H37" s="127"/>
      <c r="I37" s="127"/>
      <c r="J37" s="129"/>
      <c r="K37" s="129"/>
      <c r="L37" s="309"/>
    </row>
    <row r="38" spans="1:12" x14ac:dyDescent="0.25">
      <c r="A38" s="127">
        <v>1</v>
      </c>
      <c r="B38" s="127">
        <v>1</v>
      </c>
      <c r="C38" s="127">
        <v>1</v>
      </c>
      <c r="D38" s="127">
        <v>9</v>
      </c>
      <c r="E38" s="127"/>
      <c r="F38" s="127" t="s">
        <v>251</v>
      </c>
      <c r="G38" s="127"/>
      <c r="H38" s="127"/>
      <c r="I38" s="127"/>
      <c r="J38" s="129"/>
      <c r="K38" s="129"/>
      <c r="L38" s="309"/>
    </row>
    <row r="39" spans="1:12" x14ac:dyDescent="0.25">
      <c r="A39" s="125">
        <v>1</v>
      </c>
      <c r="B39" s="125">
        <v>1</v>
      </c>
      <c r="C39" s="125">
        <v>2</v>
      </c>
      <c r="D39" s="125"/>
      <c r="E39" s="125"/>
      <c r="F39" s="149" t="s">
        <v>101</v>
      </c>
      <c r="G39" s="154">
        <f>+G40+G41+G42+G66+G67+G68+G69</f>
        <v>15954.840000000007</v>
      </c>
      <c r="H39" s="154">
        <f>+H40+H41+H42+H66+H67+H68+H69</f>
        <v>15366</v>
      </c>
      <c r="I39" s="154">
        <f>+I40+I41+I42+I66+I67+I68+I69</f>
        <v>2063</v>
      </c>
      <c r="J39" s="154">
        <f>+J40+J41+J42+J66+J67+J68+J69</f>
        <v>29257.840000000007</v>
      </c>
      <c r="K39" s="154"/>
      <c r="L39" s="309"/>
    </row>
    <row r="40" spans="1:12" x14ac:dyDescent="0.25">
      <c r="A40" s="127">
        <v>1</v>
      </c>
      <c r="B40" s="127">
        <v>1</v>
      </c>
      <c r="C40" s="127">
        <v>2</v>
      </c>
      <c r="D40" s="127">
        <v>1</v>
      </c>
      <c r="E40" s="127"/>
      <c r="F40" s="127" t="s">
        <v>252</v>
      </c>
      <c r="G40" s="127"/>
      <c r="H40" s="127"/>
      <c r="I40" s="127"/>
      <c r="J40" s="129"/>
      <c r="K40" s="129"/>
      <c r="L40" s="309"/>
    </row>
    <row r="41" spans="1:12" x14ac:dyDescent="0.25">
      <c r="A41" s="127">
        <v>1</v>
      </c>
      <c r="B41" s="127">
        <v>1</v>
      </c>
      <c r="C41" s="127">
        <v>2</v>
      </c>
      <c r="D41" s="127">
        <v>2</v>
      </c>
      <c r="E41" s="127"/>
      <c r="F41" s="127" t="s">
        <v>253</v>
      </c>
      <c r="G41" s="127"/>
      <c r="H41" s="127"/>
      <c r="I41" s="127"/>
      <c r="J41" s="129"/>
      <c r="K41" s="129"/>
      <c r="L41" s="309"/>
    </row>
    <row r="42" spans="1:12" x14ac:dyDescent="0.25">
      <c r="A42" s="132">
        <v>1</v>
      </c>
      <c r="B42" s="132">
        <v>1</v>
      </c>
      <c r="C42" s="132">
        <v>2</v>
      </c>
      <c r="D42" s="132">
        <v>3</v>
      </c>
      <c r="E42" s="132"/>
      <c r="F42" s="132" t="s">
        <v>254</v>
      </c>
      <c r="G42" s="131">
        <f>SUM(G43:G65)</f>
        <v>15954.840000000007</v>
      </c>
      <c r="H42" s="131">
        <f>SUM(H43:H65)</f>
        <v>14068</v>
      </c>
      <c r="I42" s="131">
        <f>SUM(I43:I65)</f>
        <v>1071</v>
      </c>
      <c r="J42" s="470">
        <f>SUM(J43:J65)</f>
        <v>28951.840000000007</v>
      </c>
      <c r="K42" s="131"/>
      <c r="L42" s="309"/>
    </row>
    <row r="43" spans="1:12" x14ac:dyDescent="0.25">
      <c r="A43" s="127"/>
      <c r="B43" s="127"/>
      <c r="C43" s="127"/>
      <c r="D43" s="127"/>
      <c r="E43" s="127">
        <v>4</v>
      </c>
      <c r="F43" s="127" t="s">
        <v>617</v>
      </c>
      <c r="G43" s="140">
        <v>15841</v>
      </c>
      <c r="H43" s="140">
        <f>0+51+2450</f>
        <v>2501</v>
      </c>
      <c r="I43" s="140"/>
      <c r="J43" s="129">
        <f t="shared" ref="J43:J65" si="2">+G43+H43-I43</f>
        <v>18342</v>
      </c>
      <c r="K43" s="129"/>
      <c r="L43" s="309"/>
    </row>
    <row r="44" spans="1:12" hidden="1" x14ac:dyDescent="0.25">
      <c r="A44" s="127"/>
      <c r="B44" s="127"/>
      <c r="C44" s="127"/>
      <c r="D44" s="127"/>
      <c r="E44" s="127">
        <v>7</v>
      </c>
      <c r="F44" s="127" t="s">
        <v>622</v>
      </c>
      <c r="G44" s="140">
        <v>0</v>
      </c>
      <c r="H44" s="140"/>
      <c r="I44" s="140"/>
      <c r="J44" s="129">
        <f t="shared" si="2"/>
        <v>0</v>
      </c>
      <c r="K44" s="129"/>
      <c r="L44" s="309"/>
    </row>
    <row r="45" spans="1:12" x14ac:dyDescent="0.25">
      <c r="A45" s="127"/>
      <c r="B45" s="127"/>
      <c r="C45" s="127"/>
      <c r="D45" s="127"/>
      <c r="E45" s="127">
        <v>8</v>
      </c>
      <c r="F45" s="127" t="s">
        <v>618</v>
      </c>
      <c r="G45" s="140">
        <v>0</v>
      </c>
      <c r="H45" s="140">
        <f>10000</f>
        <v>10000</v>
      </c>
      <c r="I45" s="140">
        <v>1000</v>
      </c>
      <c r="J45" s="129">
        <f t="shared" si="2"/>
        <v>9000</v>
      </c>
      <c r="K45" s="129"/>
      <c r="L45" s="309"/>
    </row>
    <row r="46" spans="1:12" hidden="1" x14ac:dyDescent="0.25">
      <c r="A46" s="127"/>
      <c r="B46" s="127"/>
      <c r="C46" s="127"/>
      <c r="D46" s="127"/>
      <c r="E46" s="127">
        <v>9</v>
      </c>
      <c r="F46" s="127" t="s">
        <v>619</v>
      </c>
      <c r="G46" s="140">
        <v>2.0000000000436557E-2</v>
      </c>
      <c r="H46" s="140"/>
      <c r="I46" s="140"/>
      <c r="J46" s="129">
        <f t="shared" si="2"/>
        <v>2.0000000000436557E-2</v>
      </c>
      <c r="K46" s="129"/>
      <c r="L46" s="309"/>
    </row>
    <row r="47" spans="1:12" hidden="1" x14ac:dyDescent="0.25">
      <c r="A47" s="127"/>
      <c r="B47" s="127"/>
      <c r="C47" s="127"/>
      <c r="D47" s="127"/>
      <c r="E47" s="127">
        <v>12</v>
      </c>
      <c r="F47" s="127" t="s">
        <v>620</v>
      </c>
      <c r="G47" s="140">
        <v>0</v>
      </c>
      <c r="H47" s="140"/>
      <c r="I47" s="140"/>
      <c r="J47" s="129">
        <f t="shared" si="2"/>
        <v>0</v>
      </c>
      <c r="K47" s="129"/>
      <c r="L47" s="309"/>
    </row>
    <row r="48" spans="1:12" hidden="1" x14ac:dyDescent="0.25">
      <c r="A48" s="127"/>
      <c r="B48" s="127"/>
      <c r="C48" s="127"/>
      <c r="D48" s="127"/>
      <c r="E48" s="127">
        <v>14</v>
      </c>
      <c r="F48" s="127" t="s">
        <v>623</v>
      </c>
      <c r="G48" s="140">
        <v>0</v>
      </c>
      <c r="H48" s="140"/>
      <c r="I48" s="140"/>
      <c r="J48" s="129">
        <f t="shared" si="2"/>
        <v>0</v>
      </c>
      <c r="K48" s="129"/>
      <c r="L48" s="309"/>
    </row>
    <row r="49" spans="1:12" hidden="1" x14ac:dyDescent="0.25">
      <c r="A49" s="127"/>
      <c r="B49" s="127"/>
      <c r="C49" s="127"/>
      <c r="D49" s="127"/>
      <c r="E49" s="127">
        <v>16</v>
      </c>
      <c r="F49" s="127" t="s">
        <v>747</v>
      </c>
      <c r="G49" s="140">
        <v>0</v>
      </c>
      <c r="H49" s="140"/>
      <c r="I49" s="140"/>
      <c r="J49" s="129">
        <f t="shared" si="2"/>
        <v>0</v>
      </c>
      <c r="K49" s="129"/>
      <c r="L49" s="309"/>
    </row>
    <row r="50" spans="1:12" hidden="1" x14ac:dyDescent="0.25">
      <c r="A50" s="127"/>
      <c r="B50" s="127"/>
      <c r="C50" s="127"/>
      <c r="D50" s="127"/>
      <c r="E50" s="127">
        <v>17</v>
      </c>
      <c r="F50" s="127" t="s">
        <v>748</v>
      </c>
      <c r="G50" s="140">
        <v>0</v>
      </c>
      <c r="H50" s="140"/>
      <c r="I50" s="140"/>
      <c r="J50" s="129">
        <f t="shared" si="2"/>
        <v>0</v>
      </c>
      <c r="K50" s="129"/>
      <c r="L50" s="309"/>
    </row>
    <row r="51" spans="1:12" hidden="1" x14ac:dyDescent="0.25">
      <c r="A51" s="127"/>
      <c r="B51" s="127"/>
      <c r="C51" s="127"/>
      <c r="D51" s="127"/>
      <c r="E51" s="127">
        <v>19</v>
      </c>
      <c r="F51" s="127" t="s">
        <v>621</v>
      </c>
      <c r="G51" s="140">
        <v>0</v>
      </c>
      <c r="H51" s="140"/>
      <c r="I51" s="140"/>
      <c r="J51" s="129">
        <f t="shared" si="2"/>
        <v>0</v>
      </c>
      <c r="K51" s="129"/>
      <c r="L51" s="309"/>
    </row>
    <row r="52" spans="1:12" hidden="1" x14ac:dyDescent="0.25">
      <c r="A52" s="127"/>
      <c r="B52" s="127"/>
      <c r="C52" s="127"/>
      <c r="D52" s="127"/>
      <c r="E52" s="127">
        <v>22</v>
      </c>
      <c r="F52" s="127" t="s">
        <v>624</v>
      </c>
      <c r="G52" s="140">
        <v>0</v>
      </c>
      <c r="H52" s="140"/>
      <c r="I52" s="140"/>
      <c r="J52" s="129">
        <f t="shared" si="2"/>
        <v>0</v>
      </c>
      <c r="K52" s="129"/>
      <c r="L52" s="309"/>
    </row>
    <row r="53" spans="1:12" hidden="1" x14ac:dyDescent="0.25">
      <c r="A53" s="127"/>
      <c r="B53" s="127"/>
      <c r="C53" s="127"/>
      <c r="D53" s="127"/>
      <c r="E53" s="127">
        <v>24</v>
      </c>
      <c r="F53" s="127" t="s">
        <v>749</v>
      </c>
      <c r="G53" s="140">
        <v>0</v>
      </c>
      <c r="H53" s="140"/>
      <c r="I53" s="140"/>
      <c r="J53" s="129">
        <f t="shared" si="2"/>
        <v>0</v>
      </c>
      <c r="K53" s="129"/>
      <c r="L53" s="309"/>
    </row>
    <row r="54" spans="1:12" hidden="1" x14ac:dyDescent="0.25">
      <c r="A54" s="127"/>
      <c r="B54" s="127"/>
      <c r="C54" s="127"/>
      <c r="D54" s="127"/>
      <c r="E54" s="127">
        <v>25</v>
      </c>
      <c r="F54" s="127" t="s">
        <v>1020</v>
      </c>
      <c r="G54" s="140">
        <v>0</v>
      </c>
      <c r="H54" s="140"/>
      <c r="I54" s="140"/>
      <c r="J54" s="129">
        <f t="shared" si="2"/>
        <v>0</v>
      </c>
      <c r="K54" s="129"/>
      <c r="L54" s="309"/>
    </row>
    <row r="55" spans="1:12" hidden="1" x14ac:dyDescent="0.25">
      <c r="A55" s="127"/>
      <c r="B55" s="127"/>
      <c r="C55" s="127"/>
      <c r="D55" s="127"/>
      <c r="E55" s="127">
        <v>26</v>
      </c>
      <c r="F55" s="127" t="s">
        <v>1125</v>
      </c>
      <c r="G55" s="140">
        <v>0</v>
      </c>
      <c r="H55" s="140"/>
      <c r="I55" s="140"/>
      <c r="J55" s="129">
        <f t="shared" si="2"/>
        <v>0</v>
      </c>
      <c r="K55" s="129"/>
      <c r="L55" s="309"/>
    </row>
    <row r="56" spans="1:12" hidden="1" x14ac:dyDescent="0.25">
      <c r="A56" s="127"/>
      <c r="B56" s="127"/>
      <c r="C56" s="127"/>
      <c r="D56" s="127"/>
      <c r="E56" s="127">
        <v>27</v>
      </c>
      <c r="F56" s="127" t="s">
        <v>1126</v>
      </c>
      <c r="G56" s="140">
        <v>0</v>
      </c>
      <c r="H56" s="140"/>
      <c r="I56" s="140"/>
      <c r="J56" s="129">
        <f t="shared" si="2"/>
        <v>0</v>
      </c>
      <c r="K56" s="129"/>
      <c r="L56" s="309"/>
    </row>
    <row r="57" spans="1:12" hidden="1" x14ac:dyDescent="0.25">
      <c r="A57" s="127"/>
      <c r="B57" s="127"/>
      <c r="C57" s="127"/>
      <c r="D57" s="127"/>
      <c r="E57" s="127">
        <v>28</v>
      </c>
      <c r="F57" s="127" t="s">
        <v>1127</v>
      </c>
      <c r="G57" s="140">
        <v>0</v>
      </c>
      <c r="H57" s="140"/>
      <c r="I57" s="140"/>
      <c r="J57" s="129">
        <f t="shared" si="2"/>
        <v>0</v>
      </c>
      <c r="K57" s="129"/>
      <c r="L57" s="309"/>
    </row>
    <row r="58" spans="1:12" x14ac:dyDescent="0.25">
      <c r="A58" s="127"/>
      <c r="B58" s="127"/>
      <c r="C58" s="127"/>
      <c r="D58" s="127"/>
      <c r="E58" s="127">
        <v>29</v>
      </c>
      <c r="F58" s="127" t="s">
        <v>1138</v>
      </c>
      <c r="G58" s="140">
        <v>36</v>
      </c>
      <c r="H58" s="140"/>
      <c r="I58" s="140"/>
      <c r="J58" s="129">
        <f t="shared" si="2"/>
        <v>36</v>
      </c>
      <c r="K58" s="129"/>
      <c r="L58" s="309"/>
    </row>
    <row r="59" spans="1:12" x14ac:dyDescent="0.25">
      <c r="A59" s="127"/>
      <c r="B59" s="127"/>
      <c r="C59" s="127"/>
      <c r="D59" s="127"/>
      <c r="E59" s="127">
        <v>30</v>
      </c>
      <c r="F59" s="127" t="s">
        <v>1136</v>
      </c>
      <c r="G59" s="140">
        <v>78</v>
      </c>
      <c r="H59" s="140">
        <f>67+1500+0</f>
        <v>1567</v>
      </c>
      <c r="I59" s="140">
        <f>67+4</f>
        <v>71</v>
      </c>
      <c r="J59" s="129">
        <f t="shared" si="2"/>
        <v>1574</v>
      </c>
      <c r="K59" s="129"/>
      <c r="L59" s="309"/>
    </row>
    <row r="60" spans="1:12" hidden="1" x14ac:dyDescent="0.25">
      <c r="A60" s="127"/>
      <c r="B60" s="127"/>
      <c r="C60" s="127"/>
      <c r="D60" s="127"/>
      <c r="E60" s="127">
        <v>31</v>
      </c>
      <c r="F60" s="127" t="s">
        <v>1139</v>
      </c>
      <c r="G60" s="140">
        <v>0</v>
      </c>
      <c r="H60" s="140"/>
      <c r="I60" s="140"/>
      <c r="J60" s="129">
        <f t="shared" si="2"/>
        <v>0</v>
      </c>
      <c r="K60" s="129"/>
      <c r="L60" s="309"/>
    </row>
    <row r="61" spans="1:12" hidden="1" x14ac:dyDescent="0.25">
      <c r="A61" s="127"/>
      <c r="B61" s="127"/>
      <c r="C61" s="127"/>
      <c r="D61" s="127"/>
      <c r="E61" s="127">
        <v>32</v>
      </c>
      <c r="F61" s="127" t="s">
        <v>1140</v>
      </c>
      <c r="G61" s="140">
        <v>0</v>
      </c>
      <c r="H61" s="140"/>
      <c r="I61" s="140"/>
      <c r="J61" s="129">
        <f t="shared" si="2"/>
        <v>0</v>
      </c>
      <c r="K61" s="129"/>
      <c r="L61" s="309"/>
    </row>
    <row r="62" spans="1:12" hidden="1" x14ac:dyDescent="0.25">
      <c r="A62" s="127"/>
      <c r="B62" s="127"/>
      <c r="C62" s="127"/>
      <c r="D62" s="127"/>
      <c r="E62" s="127" t="s">
        <v>625</v>
      </c>
      <c r="F62" s="127" t="s">
        <v>626</v>
      </c>
      <c r="G62" s="140">
        <v>-0.17999999999301508</v>
      </c>
      <c r="H62" s="140"/>
      <c r="I62" s="140"/>
      <c r="J62" s="129">
        <f t="shared" si="2"/>
        <v>-0.17999999999301508</v>
      </c>
      <c r="K62" s="129"/>
      <c r="L62" s="309"/>
    </row>
    <row r="63" spans="1:12" hidden="1" x14ac:dyDescent="0.25">
      <c r="A63" s="127"/>
      <c r="B63" s="127"/>
      <c r="C63" s="127"/>
      <c r="D63" s="127"/>
      <c r="E63" s="127" t="s">
        <v>627</v>
      </c>
      <c r="F63" s="127" t="s">
        <v>630</v>
      </c>
      <c r="G63" s="140">
        <v>0</v>
      </c>
      <c r="H63" s="140"/>
      <c r="I63" s="140"/>
      <c r="J63" s="129">
        <f t="shared" si="2"/>
        <v>0</v>
      </c>
      <c r="K63" s="129"/>
      <c r="L63" s="309"/>
    </row>
    <row r="64" spans="1:12" hidden="1" x14ac:dyDescent="0.25">
      <c r="A64" s="127"/>
      <c r="B64" s="127"/>
      <c r="C64" s="127"/>
      <c r="D64" s="127"/>
      <c r="E64" s="127" t="s">
        <v>750</v>
      </c>
      <c r="F64" s="127" t="s">
        <v>751</v>
      </c>
      <c r="G64" s="140">
        <v>0</v>
      </c>
      <c r="H64" s="140"/>
      <c r="I64" s="140"/>
      <c r="J64" s="129">
        <f t="shared" si="2"/>
        <v>0</v>
      </c>
      <c r="K64" s="129"/>
      <c r="L64" s="309"/>
    </row>
    <row r="65" spans="1:12" hidden="1" x14ac:dyDescent="0.25">
      <c r="A65" s="127"/>
      <c r="B65" s="127"/>
      <c r="C65" s="127"/>
      <c r="D65" s="127"/>
      <c r="E65" s="127" t="s">
        <v>628</v>
      </c>
      <c r="F65" s="127" t="s">
        <v>629</v>
      </c>
      <c r="G65" s="140">
        <v>0</v>
      </c>
      <c r="H65" s="140"/>
      <c r="I65" s="140"/>
      <c r="J65" s="129">
        <f t="shared" si="2"/>
        <v>0</v>
      </c>
      <c r="K65" s="129"/>
      <c r="L65" s="309"/>
    </row>
    <row r="66" spans="1:12" hidden="1" x14ac:dyDescent="0.25">
      <c r="A66" s="127">
        <v>1</v>
      </c>
      <c r="B66" s="127">
        <v>1</v>
      </c>
      <c r="C66" s="127">
        <v>2</v>
      </c>
      <c r="D66" s="127">
        <v>4</v>
      </c>
      <c r="E66" s="127"/>
      <c r="F66" s="127" t="s">
        <v>255</v>
      </c>
      <c r="G66" s="127"/>
      <c r="H66" s="127"/>
      <c r="I66" s="127"/>
      <c r="J66" s="129"/>
      <c r="K66" s="129"/>
      <c r="L66" s="309"/>
    </row>
    <row r="67" spans="1:12" hidden="1" x14ac:dyDescent="0.25">
      <c r="A67" s="127">
        <v>1</v>
      </c>
      <c r="B67" s="127">
        <v>1</v>
      </c>
      <c r="C67" s="127">
        <v>2</v>
      </c>
      <c r="D67" s="127">
        <v>5</v>
      </c>
      <c r="E67" s="127"/>
      <c r="F67" s="127" t="s">
        <v>256</v>
      </c>
      <c r="G67" s="127"/>
      <c r="H67" s="127"/>
      <c r="I67" s="127"/>
      <c r="J67" s="129"/>
      <c r="K67" s="129"/>
      <c r="L67" s="309"/>
    </row>
    <row r="68" spans="1:12" hidden="1" x14ac:dyDescent="0.25">
      <c r="A68" s="127">
        <v>1</v>
      </c>
      <c r="B68" s="127">
        <v>1</v>
      </c>
      <c r="C68" s="127">
        <v>2</v>
      </c>
      <c r="D68" s="127">
        <v>6</v>
      </c>
      <c r="E68" s="127"/>
      <c r="F68" s="127" t="s">
        <v>257</v>
      </c>
      <c r="G68" s="127"/>
      <c r="H68" s="127"/>
      <c r="I68" s="127"/>
      <c r="J68" s="129"/>
      <c r="K68" s="129"/>
      <c r="L68" s="309"/>
    </row>
    <row r="69" spans="1:12" ht="24" x14ac:dyDescent="0.25">
      <c r="A69" s="132">
        <v>1</v>
      </c>
      <c r="B69" s="132">
        <v>1</v>
      </c>
      <c r="C69" s="132">
        <v>2</v>
      </c>
      <c r="D69" s="132">
        <v>9</v>
      </c>
      <c r="E69" s="132"/>
      <c r="F69" s="132" t="s">
        <v>258</v>
      </c>
      <c r="G69" s="141">
        <f>G70</f>
        <v>0</v>
      </c>
      <c r="H69" s="141">
        <f t="shared" ref="H69:J69" si="3">H70</f>
        <v>1298</v>
      </c>
      <c r="I69" s="141">
        <f t="shared" si="3"/>
        <v>992</v>
      </c>
      <c r="J69" s="141">
        <f t="shared" si="3"/>
        <v>306</v>
      </c>
      <c r="K69" s="141"/>
      <c r="L69" s="309"/>
    </row>
    <row r="70" spans="1:12" x14ac:dyDescent="0.25">
      <c r="A70" s="138"/>
      <c r="B70" s="138"/>
      <c r="C70" s="138"/>
      <c r="D70" s="138"/>
      <c r="E70" s="138"/>
      <c r="F70" s="138" t="s">
        <v>839</v>
      </c>
      <c r="G70" s="152">
        <v>0</v>
      </c>
      <c r="H70" s="152">
        <f>686+306+306</f>
        <v>1298</v>
      </c>
      <c r="I70" s="152">
        <f>685+306+1</f>
        <v>992</v>
      </c>
      <c r="J70" s="129">
        <f t="shared" ref="J70" si="4">+G70+H70-I70</f>
        <v>306</v>
      </c>
      <c r="K70" s="153"/>
      <c r="L70" s="309"/>
    </row>
    <row r="71" spans="1:12" hidden="1" x14ac:dyDescent="0.25">
      <c r="A71" s="127">
        <v>1</v>
      </c>
      <c r="B71" s="127">
        <v>1</v>
      </c>
      <c r="C71" s="127">
        <v>3</v>
      </c>
      <c r="D71" s="127"/>
      <c r="E71" s="127"/>
      <c r="F71" s="128" t="s">
        <v>103</v>
      </c>
      <c r="G71" s="128"/>
      <c r="H71" s="128"/>
      <c r="I71" s="128"/>
      <c r="J71" s="129"/>
      <c r="K71" s="129"/>
      <c r="L71" s="309"/>
    </row>
    <row r="72" spans="1:12" ht="24" hidden="1" x14ac:dyDescent="0.25">
      <c r="A72" s="127">
        <v>1</v>
      </c>
      <c r="B72" s="127">
        <v>1</v>
      </c>
      <c r="C72" s="127">
        <v>3</v>
      </c>
      <c r="D72" s="127">
        <v>1</v>
      </c>
      <c r="E72" s="127"/>
      <c r="F72" s="127" t="s">
        <v>259</v>
      </c>
      <c r="G72" s="127"/>
      <c r="H72" s="127"/>
      <c r="I72" s="127"/>
      <c r="J72" s="129"/>
      <c r="K72" s="129"/>
      <c r="L72" s="309"/>
    </row>
    <row r="73" spans="1:12" ht="24" hidden="1" x14ac:dyDescent="0.25">
      <c r="A73" s="127">
        <v>1</v>
      </c>
      <c r="B73" s="127">
        <v>1</v>
      </c>
      <c r="C73" s="127">
        <v>3</v>
      </c>
      <c r="D73" s="127">
        <v>2</v>
      </c>
      <c r="E73" s="127"/>
      <c r="F73" s="127" t="s">
        <v>260</v>
      </c>
      <c r="G73" s="127"/>
      <c r="H73" s="127"/>
      <c r="I73" s="127"/>
      <c r="J73" s="129"/>
      <c r="K73" s="129"/>
      <c r="L73" s="309"/>
    </row>
    <row r="74" spans="1:12" ht="24" hidden="1" x14ac:dyDescent="0.25">
      <c r="A74" s="127">
        <v>1</v>
      </c>
      <c r="B74" s="127">
        <v>1</v>
      </c>
      <c r="C74" s="127">
        <v>3</v>
      </c>
      <c r="D74" s="127">
        <v>3</v>
      </c>
      <c r="E74" s="127"/>
      <c r="F74" s="127" t="s">
        <v>261</v>
      </c>
      <c r="G74" s="127"/>
      <c r="H74" s="127"/>
      <c r="I74" s="127"/>
      <c r="J74" s="129"/>
      <c r="K74" s="129"/>
      <c r="L74" s="309"/>
    </row>
    <row r="75" spans="1:12" ht="24" hidden="1" x14ac:dyDescent="0.25">
      <c r="A75" s="127">
        <v>1</v>
      </c>
      <c r="B75" s="127">
        <v>1</v>
      </c>
      <c r="C75" s="127">
        <v>3</v>
      </c>
      <c r="D75" s="127">
        <v>4</v>
      </c>
      <c r="E75" s="127"/>
      <c r="F75" s="127" t="s">
        <v>262</v>
      </c>
      <c r="G75" s="127"/>
      <c r="H75" s="127"/>
      <c r="I75" s="127"/>
      <c r="J75" s="129"/>
      <c r="K75" s="129"/>
      <c r="L75" s="309"/>
    </row>
    <row r="76" spans="1:12" ht="24" hidden="1" x14ac:dyDescent="0.25">
      <c r="A76" s="127">
        <v>1</v>
      </c>
      <c r="B76" s="127">
        <v>1</v>
      </c>
      <c r="C76" s="127">
        <v>3</v>
      </c>
      <c r="D76" s="127">
        <v>9</v>
      </c>
      <c r="E76" s="127"/>
      <c r="F76" s="127" t="s">
        <v>263</v>
      </c>
      <c r="G76" s="127"/>
      <c r="H76" s="127"/>
      <c r="I76" s="127"/>
      <c r="J76" s="129"/>
      <c r="K76" s="129"/>
      <c r="L76" s="309"/>
    </row>
    <row r="77" spans="1:12" hidden="1" x14ac:dyDescent="0.25">
      <c r="A77" s="127">
        <v>1</v>
      </c>
      <c r="B77" s="127">
        <v>1</v>
      </c>
      <c r="C77" s="127">
        <v>4</v>
      </c>
      <c r="D77" s="127"/>
      <c r="E77" s="127"/>
      <c r="F77" s="128" t="s">
        <v>264</v>
      </c>
      <c r="G77" s="128"/>
      <c r="H77" s="128"/>
      <c r="I77" s="128"/>
      <c r="J77" s="129"/>
      <c r="K77" s="129"/>
      <c r="L77" s="309"/>
    </row>
    <row r="78" spans="1:12" hidden="1" x14ac:dyDescent="0.25">
      <c r="A78" s="127">
        <v>1</v>
      </c>
      <c r="B78" s="127">
        <v>1</v>
      </c>
      <c r="C78" s="127">
        <v>4</v>
      </c>
      <c r="D78" s="127">
        <v>1</v>
      </c>
      <c r="E78" s="127"/>
      <c r="F78" s="127" t="s">
        <v>265</v>
      </c>
      <c r="G78" s="127"/>
      <c r="H78" s="127"/>
      <c r="I78" s="127"/>
      <c r="J78" s="129"/>
      <c r="K78" s="129"/>
      <c r="L78" s="309"/>
    </row>
    <row r="79" spans="1:12" hidden="1" x14ac:dyDescent="0.25">
      <c r="A79" s="127">
        <v>1</v>
      </c>
      <c r="B79" s="127">
        <v>1</v>
      </c>
      <c r="C79" s="127">
        <v>4</v>
      </c>
      <c r="D79" s="127">
        <v>2</v>
      </c>
      <c r="E79" s="127"/>
      <c r="F79" s="127" t="s">
        <v>266</v>
      </c>
      <c r="G79" s="127"/>
      <c r="H79" s="127"/>
      <c r="I79" s="127"/>
      <c r="J79" s="129"/>
      <c r="K79" s="129"/>
      <c r="L79" s="309"/>
    </row>
    <row r="80" spans="1:12" hidden="1" x14ac:dyDescent="0.25">
      <c r="A80" s="127">
        <v>1</v>
      </c>
      <c r="B80" s="127">
        <v>1</v>
      </c>
      <c r="C80" s="127">
        <v>4</v>
      </c>
      <c r="D80" s="127">
        <v>3</v>
      </c>
      <c r="E80" s="127"/>
      <c r="F80" s="127" t="s">
        <v>267</v>
      </c>
      <c r="G80" s="127"/>
      <c r="H80" s="127"/>
      <c r="I80" s="127"/>
      <c r="J80" s="129"/>
      <c r="K80" s="129"/>
      <c r="L80" s="309"/>
    </row>
    <row r="81" spans="1:12" ht="24" hidden="1" x14ac:dyDescent="0.25">
      <c r="A81" s="127">
        <v>1</v>
      </c>
      <c r="B81" s="127">
        <v>1</v>
      </c>
      <c r="C81" s="127">
        <v>4</v>
      </c>
      <c r="D81" s="127">
        <v>4</v>
      </c>
      <c r="E81" s="127"/>
      <c r="F81" s="127" t="s">
        <v>268</v>
      </c>
      <c r="G81" s="127"/>
      <c r="H81" s="127"/>
      <c r="I81" s="127"/>
      <c r="J81" s="129"/>
      <c r="K81" s="129"/>
      <c r="L81" s="309"/>
    </row>
    <row r="82" spans="1:12" hidden="1" x14ac:dyDescent="0.25">
      <c r="A82" s="127">
        <v>1</v>
      </c>
      <c r="B82" s="127">
        <v>1</v>
      </c>
      <c r="C82" s="127">
        <v>4</v>
      </c>
      <c r="D82" s="127">
        <v>5</v>
      </c>
      <c r="E82" s="127"/>
      <c r="F82" s="127" t="s">
        <v>269</v>
      </c>
      <c r="G82" s="127"/>
      <c r="H82" s="127"/>
      <c r="I82" s="127"/>
      <c r="J82" s="129"/>
      <c r="K82" s="129"/>
      <c r="L82" s="309"/>
    </row>
    <row r="83" spans="1:12" hidden="1" x14ac:dyDescent="0.25">
      <c r="A83" s="127">
        <v>1</v>
      </c>
      <c r="B83" s="127">
        <v>1</v>
      </c>
      <c r="C83" s="127">
        <v>5</v>
      </c>
      <c r="D83" s="127"/>
      <c r="E83" s="127"/>
      <c r="F83" s="128" t="s">
        <v>107</v>
      </c>
      <c r="G83" s="128"/>
      <c r="H83" s="128"/>
      <c r="I83" s="128"/>
      <c r="J83" s="129"/>
      <c r="K83" s="129"/>
      <c r="L83" s="309"/>
    </row>
    <row r="84" spans="1:12" hidden="1" x14ac:dyDescent="0.25">
      <c r="A84" s="127">
        <v>1</v>
      </c>
      <c r="B84" s="127">
        <v>1</v>
      </c>
      <c r="C84" s="127">
        <v>5</v>
      </c>
      <c r="D84" s="127">
        <v>1</v>
      </c>
      <c r="E84" s="127"/>
      <c r="F84" s="127" t="s">
        <v>270</v>
      </c>
      <c r="G84" s="127"/>
      <c r="H84" s="127"/>
      <c r="I84" s="127"/>
      <c r="J84" s="129"/>
      <c r="K84" s="129"/>
      <c r="L84" s="309"/>
    </row>
    <row r="85" spans="1:12" ht="24" hidden="1" x14ac:dyDescent="0.25">
      <c r="A85" s="127">
        <v>1</v>
      </c>
      <c r="B85" s="127">
        <v>1</v>
      </c>
      <c r="C85" s="127">
        <v>6</v>
      </c>
      <c r="D85" s="127"/>
      <c r="E85" s="127"/>
      <c r="F85" s="128" t="s">
        <v>109</v>
      </c>
      <c r="G85" s="128"/>
      <c r="H85" s="128"/>
      <c r="I85" s="128"/>
      <c r="J85" s="129"/>
      <c r="K85" s="129"/>
      <c r="L85" s="309"/>
    </row>
    <row r="86" spans="1:12" ht="24" hidden="1" x14ac:dyDescent="0.25">
      <c r="A86" s="127">
        <v>1</v>
      </c>
      <c r="B86" s="127">
        <v>1</v>
      </c>
      <c r="C86" s="127">
        <v>6</v>
      </c>
      <c r="D86" s="127">
        <v>1</v>
      </c>
      <c r="E86" s="127"/>
      <c r="F86" s="127" t="s">
        <v>271</v>
      </c>
      <c r="G86" s="127"/>
      <c r="H86" s="127"/>
      <c r="I86" s="127"/>
      <c r="J86" s="129"/>
      <c r="K86" s="129"/>
      <c r="L86" s="309"/>
    </row>
    <row r="87" spans="1:12" hidden="1" x14ac:dyDescent="0.25">
      <c r="A87" s="127">
        <v>1</v>
      </c>
      <c r="B87" s="127">
        <v>1</v>
      </c>
      <c r="C87" s="127">
        <v>6</v>
      </c>
      <c r="D87" s="127">
        <v>2</v>
      </c>
      <c r="E87" s="127"/>
      <c r="F87" s="127" t="s">
        <v>272</v>
      </c>
      <c r="G87" s="127"/>
      <c r="H87" s="127"/>
      <c r="I87" s="127"/>
      <c r="J87" s="129"/>
      <c r="K87" s="129"/>
      <c r="L87" s="309"/>
    </row>
    <row r="88" spans="1:12" hidden="1" x14ac:dyDescent="0.25">
      <c r="A88" s="127">
        <v>1</v>
      </c>
      <c r="B88" s="127">
        <v>1</v>
      </c>
      <c r="C88" s="127">
        <v>9</v>
      </c>
      <c r="D88" s="127"/>
      <c r="E88" s="127"/>
      <c r="F88" s="128" t="s">
        <v>273</v>
      </c>
      <c r="G88" s="128"/>
      <c r="H88" s="128"/>
      <c r="I88" s="128"/>
      <c r="J88" s="129"/>
      <c r="K88" s="129"/>
      <c r="L88" s="309"/>
    </row>
    <row r="89" spans="1:12" hidden="1" x14ac:dyDescent="0.25">
      <c r="A89" s="127">
        <v>1</v>
      </c>
      <c r="B89" s="127">
        <v>1</v>
      </c>
      <c r="C89" s="127">
        <v>9</v>
      </c>
      <c r="D89" s="127">
        <v>1</v>
      </c>
      <c r="E89" s="127"/>
      <c r="F89" s="127" t="s">
        <v>274</v>
      </c>
      <c r="G89" s="127"/>
      <c r="H89" s="127"/>
      <c r="I89" s="127"/>
      <c r="J89" s="129"/>
      <c r="K89" s="129"/>
      <c r="L89" s="309"/>
    </row>
    <row r="90" spans="1:12" hidden="1" x14ac:dyDescent="0.25">
      <c r="A90" s="127">
        <v>1</v>
      </c>
      <c r="B90" s="127">
        <v>1</v>
      </c>
      <c r="C90" s="127">
        <v>9</v>
      </c>
      <c r="D90" s="127">
        <v>2</v>
      </c>
      <c r="E90" s="127"/>
      <c r="F90" s="127" t="s">
        <v>275</v>
      </c>
      <c r="G90" s="127"/>
      <c r="H90" s="127"/>
      <c r="I90" s="127"/>
      <c r="J90" s="129"/>
      <c r="K90" s="129"/>
      <c r="L90" s="309"/>
    </row>
    <row r="91" spans="1:12" ht="24" hidden="1" x14ac:dyDescent="0.25">
      <c r="A91" s="127">
        <v>1</v>
      </c>
      <c r="B91" s="127">
        <v>1</v>
      </c>
      <c r="C91" s="127">
        <v>9</v>
      </c>
      <c r="D91" s="127">
        <v>3</v>
      </c>
      <c r="E91" s="127"/>
      <c r="F91" s="127" t="s">
        <v>276</v>
      </c>
      <c r="G91" s="127"/>
      <c r="H91" s="127"/>
      <c r="I91" s="127"/>
      <c r="J91" s="129"/>
      <c r="K91" s="129"/>
      <c r="L91" s="309"/>
    </row>
    <row r="92" spans="1:12" x14ac:dyDescent="0.25">
      <c r="A92" s="136">
        <v>1</v>
      </c>
      <c r="B92" s="136">
        <v>2</v>
      </c>
      <c r="C92" s="136"/>
      <c r="D92" s="136"/>
      <c r="E92" s="136"/>
      <c r="F92" s="136" t="s">
        <v>277</v>
      </c>
      <c r="G92" s="155">
        <f>+G93+G98+G104+G114+G211+G222+G228+G236+G242</f>
        <v>3401307.94</v>
      </c>
      <c r="H92" s="155">
        <f t="shared" ref="H92:J92" si="5">+H93+H98+H104+H114+H211+H222+H228+H236+H242</f>
        <v>0</v>
      </c>
      <c r="I92" s="155">
        <f t="shared" si="5"/>
        <v>181998.75</v>
      </c>
      <c r="J92" s="155">
        <f t="shared" si="5"/>
        <v>3219309.19</v>
      </c>
      <c r="K92" s="155"/>
      <c r="L92" s="309"/>
    </row>
    <row r="93" spans="1:12" hidden="1" x14ac:dyDescent="0.25">
      <c r="A93" s="127">
        <v>1</v>
      </c>
      <c r="B93" s="127">
        <v>2</v>
      </c>
      <c r="C93" s="127">
        <v>1</v>
      </c>
      <c r="D93" s="127"/>
      <c r="E93" s="127"/>
      <c r="F93" s="128" t="s">
        <v>118</v>
      </c>
      <c r="G93" s="128"/>
      <c r="H93" s="128"/>
      <c r="I93" s="128"/>
      <c r="J93" s="129"/>
      <c r="K93" s="129"/>
      <c r="L93" s="309"/>
    </row>
    <row r="94" spans="1:12" hidden="1" x14ac:dyDescent="0.25">
      <c r="A94" s="127">
        <v>1</v>
      </c>
      <c r="B94" s="127">
        <v>2</v>
      </c>
      <c r="C94" s="127">
        <v>1</v>
      </c>
      <c r="D94" s="127">
        <v>1</v>
      </c>
      <c r="E94" s="127"/>
      <c r="F94" s="127" t="s">
        <v>278</v>
      </c>
      <c r="G94" s="127"/>
      <c r="H94" s="127"/>
      <c r="I94" s="127"/>
      <c r="J94" s="129"/>
      <c r="K94" s="129"/>
      <c r="L94" s="309"/>
    </row>
    <row r="95" spans="1:12" hidden="1" x14ac:dyDescent="0.25">
      <c r="A95" s="127">
        <v>1</v>
      </c>
      <c r="B95" s="127">
        <v>2</v>
      </c>
      <c r="C95" s="127">
        <v>1</v>
      </c>
      <c r="D95" s="127">
        <v>2</v>
      </c>
      <c r="E95" s="127"/>
      <c r="F95" s="127" t="s">
        <v>279</v>
      </c>
      <c r="G95" s="127"/>
      <c r="H95" s="127"/>
      <c r="I95" s="127"/>
      <c r="J95" s="129"/>
      <c r="K95" s="129"/>
      <c r="L95" s="309"/>
    </row>
    <row r="96" spans="1:12" hidden="1" x14ac:dyDescent="0.25">
      <c r="A96" s="127">
        <v>1</v>
      </c>
      <c r="B96" s="127">
        <v>2</v>
      </c>
      <c r="C96" s="127">
        <v>1</v>
      </c>
      <c r="D96" s="127">
        <v>3</v>
      </c>
      <c r="E96" s="127"/>
      <c r="F96" s="127" t="s">
        <v>280</v>
      </c>
      <c r="G96" s="127"/>
      <c r="H96" s="127"/>
      <c r="I96" s="127"/>
      <c r="J96" s="129"/>
      <c r="K96" s="129"/>
      <c r="L96" s="309"/>
    </row>
    <row r="97" spans="1:12" hidden="1" x14ac:dyDescent="0.25">
      <c r="A97" s="127">
        <v>1</v>
      </c>
      <c r="B97" s="127">
        <v>2</v>
      </c>
      <c r="C97" s="127">
        <v>1</v>
      </c>
      <c r="D97" s="127">
        <v>4</v>
      </c>
      <c r="E97" s="127"/>
      <c r="F97" s="127" t="s">
        <v>281</v>
      </c>
      <c r="G97" s="127"/>
      <c r="H97" s="127"/>
      <c r="I97" s="127"/>
      <c r="J97" s="129"/>
      <c r="K97" s="129"/>
      <c r="L97" s="309"/>
    </row>
    <row r="98" spans="1:12" ht="24" hidden="1" x14ac:dyDescent="0.25">
      <c r="A98" s="127">
        <v>1</v>
      </c>
      <c r="B98" s="127">
        <v>2</v>
      </c>
      <c r="C98" s="127">
        <v>2</v>
      </c>
      <c r="D98" s="127"/>
      <c r="E98" s="127"/>
      <c r="F98" s="128" t="s">
        <v>120</v>
      </c>
      <c r="G98" s="128"/>
      <c r="H98" s="128"/>
      <c r="I98" s="128"/>
      <c r="J98" s="129"/>
      <c r="K98" s="129"/>
      <c r="L98" s="309"/>
    </row>
    <row r="99" spans="1:12" hidden="1" x14ac:dyDescent="0.25">
      <c r="A99" s="127">
        <v>1</v>
      </c>
      <c r="B99" s="127">
        <v>2</v>
      </c>
      <c r="C99" s="127">
        <v>2</v>
      </c>
      <c r="D99" s="127">
        <v>1</v>
      </c>
      <c r="E99" s="127"/>
      <c r="F99" s="127" t="s">
        <v>282</v>
      </c>
      <c r="G99" s="127"/>
      <c r="H99" s="127"/>
      <c r="I99" s="127"/>
      <c r="J99" s="129"/>
      <c r="K99" s="129"/>
      <c r="L99" s="309"/>
    </row>
    <row r="100" spans="1:12" hidden="1" x14ac:dyDescent="0.25">
      <c r="A100" s="127">
        <v>1</v>
      </c>
      <c r="B100" s="127">
        <v>2</v>
      </c>
      <c r="C100" s="127">
        <v>2</v>
      </c>
      <c r="D100" s="127">
        <v>2</v>
      </c>
      <c r="E100" s="127"/>
      <c r="F100" s="127" t="s">
        <v>283</v>
      </c>
      <c r="G100" s="127"/>
      <c r="H100" s="127"/>
      <c r="I100" s="127"/>
      <c r="J100" s="129"/>
      <c r="K100" s="129"/>
      <c r="L100" s="309"/>
    </row>
    <row r="101" spans="1:12" hidden="1" x14ac:dyDescent="0.25">
      <c r="A101" s="127">
        <v>1</v>
      </c>
      <c r="B101" s="127">
        <v>2</v>
      </c>
      <c r="C101" s="127">
        <v>2</v>
      </c>
      <c r="D101" s="127">
        <v>3</v>
      </c>
      <c r="E101" s="127"/>
      <c r="F101" s="127" t="s">
        <v>284</v>
      </c>
      <c r="G101" s="127"/>
      <c r="H101" s="127"/>
      <c r="I101" s="127"/>
      <c r="J101" s="129"/>
      <c r="K101" s="129"/>
      <c r="L101" s="309"/>
    </row>
    <row r="102" spans="1:12" hidden="1" x14ac:dyDescent="0.25">
      <c r="A102" s="127">
        <v>1</v>
      </c>
      <c r="B102" s="127">
        <v>2</v>
      </c>
      <c r="C102" s="127">
        <v>2</v>
      </c>
      <c r="D102" s="127">
        <v>4</v>
      </c>
      <c r="E102" s="127"/>
      <c r="F102" s="127" t="s">
        <v>285</v>
      </c>
      <c r="G102" s="127"/>
      <c r="H102" s="127"/>
      <c r="I102" s="127"/>
      <c r="J102" s="129"/>
      <c r="K102" s="129"/>
      <c r="L102" s="309"/>
    </row>
    <row r="103" spans="1:12" ht="24" hidden="1" x14ac:dyDescent="0.25">
      <c r="A103" s="127">
        <v>1</v>
      </c>
      <c r="B103" s="127">
        <v>2</v>
      </c>
      <c r="C103" s="127">
        <v>2</v>
      </c>
      <c r="D103" s="127">
        <v>9</v>
      </c>
      <c r="E103" s="127"/>
      <c r="F103" s="127" t="s">
        <v>286</v>
      </c>
      <c r="G103" s="127"/>
      <c r="H103" s="127"/>
      <c r="I103" s="127"/>
      <c r="J103" s="129"/>
      <c r="K103" s="129"/>
      <c r="L103" s="309"/>
    </row>
    <row r="104" spans="1:12" ht="24" x14ac:dyDescent="0.25">
      <c r="A104" s="132">
        <v>1</v>
      </c>
      <c r="B104" s="132">
        <v>2</v>
      </c>
      <c r="C104" s="132">
        <v>3</v>
      </c>
      <c r="D104" s="132"/>
      <c r="E104" s="132"/>
      <c r="F104" s="135" t="s">
        <v>122</v>
      </c>
      <c r="G104" s="131">
        <f>+G105+G106+G107+G110+G111+G112+G113</f>
        <v>867420.59</v>
      </c>
      <c r="H104" s="131">
        <f t="shared" ref="H104:J104" si="6">+H105+H106+H107+H110+H111+H112+H113</f>
        <v>0</v>
      </c>
      <c r="I104" s="131">
        <f t="shared" si="6"/>
        <v>0</v>
      </c>
      <c r="J104" s="131">
        <f t="shared" si="6"/>
        <v>867420.59</v>
      </c>
      <c r="K104" s="131"/>
      <c r="L104" s="309"/>
    </row>
    <row r="105" spans="1:12" x14ac:dyDescent="0.25">
      <c r="A105" s="127">
        <v>1</v>
      </c>
      <c r="B105" s="127">
        <v>2</v>
      </c>
      <c r="C105" s="127">
        <v>3</v>
      </c>
      <c r="D105" s="127">
        <v>1</v>
      </c>
      <c r="E105" s="127"/>
      <c r="F105" s="127" t="s">
        <v>287</v>
      </c>
      <c r="G105" s="127"/>
      <c r="H105" s="127"/>
      <c r="I105" s="127"/>
      <c r="J105" s="129"/>
      <c r="K105" s="129"/>
      <c r="L105" s="309"/>
    </row>
    <row r="106" spans="1:12" x14ac:dyDescent="0.25">
      <c r="A106" s="127">
        <v>1</v>
      </c>
      <c r="B106" s="127">
        <v>2</v>
      </c>
      <c r="C106" s="127">
        <v>3</v>
      </c>
      <c r="D106" s="127">
        <v>2</v>
      </c>
      <c r="E106" s="127"/>
      <c r="F106" s="127" t="s">
        <v>288</v>
      </c>
      <c r="G106" s="127"/>
      <c r="H106" s="127"/>
      <c r="I106" s="127"/>
      <c r="J106" s="129"/>
      <c r="K106" s="129"/>
      <c r="L106" s="309"/>
    </row>
    <row r="107" spans="1:12" x14ac:dyDescent="0.25">
      <c r="A107" s="127">
        <v>1</v>
      </c>
      <c r="B107" s="127">
        <v>2</v>
      </c>
      <c r="C107" s="127">
        <v>3</v>
      </c>
      <c r="D107" s="127">
        <v>3</v>
      </c>
      <c r="E107" s="127"/>
      <c r="F107" s="127" t="s">
        <v>289</v>
      </c>
      <c r="G107" s="134">
        <f>+G108+G109</f>
        <v>867420.59</v>
      </c>
      <c r="H107" s="134">
        <f t="shared" ref="H107:I109" si="7">+H108+H109</f>
        <v>0</v>
      </c>
      <c r="I107" s="134">
        <f t="shared" si="7"/>
        <v>0</v>
      </c>
      <c r="J107" s="134">
        <f>+J108+J109</f>
        <v>867420.59</v>
      </c>
      <c r="K107" s="134"/>
      <c r="L107" s="309"/>
    </row>
    <row r="108" spans="1:12" x14ac:dyDescent="0.25">
      <c r="A108" s="127"/>
      <c r="B108" s="127"/>
      <c r="C108" s="127"/>
      <c r="D108" s="127"/>
      <c r="E108" s="127"/>
      <c r="F108" s="339" t="s">
        <v>706</v>
      </c>
      <c r="G108" s="340">
        <v>236544.33</v>
      </c>
      <c r="H108" s="129">
        <f t="shared" si="7"/>
        <v>0</v>
      </c>
      <c r="I108" s="129">
        <f t="shared" si="7"/>
        <v>0</v>
      </c>
      <c r="J108" s="340">
        <f>+G108+H108-I108</f>
        <v>236544.33</v>
      </c>
      <c r="K108" s="340"/>
      <c r="L108" s="309"/>
    </row>
    <row r="109" spans="1:12" x14ac:dyDescent="0.25">
      <c r="A109" s="127"/>
      <c r="B109" s="127"/>
      <c r="C109" s="127"/>
      <c r="D109" s="127"/>
      <c r="E109" s="127"/>
      <c r="F109" s="339" t="s">
        <v>707</v>
      </c>
      <c r="G109" s="340">
        <v>630876.26</v>
      </c>
      <c r="H109" s="129">
        <f t="shared" si="7"/>
        <v>0</v>
      </c>
      <c r="I109" s="129">
        <f t="shared" si="7"/>
        <v>0</v>
      </c>
      <c r="J109" s="340">
        <f>+G109+H109-I109</f>
        <v>630876.26</v>
      </c>
      <c r="K109" s="340"/>
      <c r="L109" s="309"/>
    </row>
    <row r="110" spans="1:12" hidden="1" x14ac:dyDescent="0.25">
      <c r="A110" s="127">
        <v>1</v>
      </c>
      <c r="B110" s="127">
        <v>2</v>
      </c>
      <c r="C110" s="127">
        <v>3</v>
      </c>
      <c r="D110" s="127">
        <v>4</v>
      </c>
      <c r="E110" s="127"/>
      <c r="F110" s="127" t="s">
        <v>290</v>
      </c>
      <c r="G110" s="127"/>
      <c r="H110" s="127"/>
      <c r="I110" s="127"/>
      <c r="J110" s="129"/>
      <c r="K110" s="129"/>
      <c r="L110" s="309"/>
    </row>
    <row r="111" spans="1:12" ht="24" hidden="1" x14ac:dyDescent="0.25">
      <c r="A111" s="127">
        <v>1</v>
      </c>
      <c r="B111" s="127">
        <v>2</v>
      </c>
      <c r="C111" s="127">
        <v>3</v>
      </c>
      <c r="D111" s="127">
        <v>5</v>
      </c>
      <c r="E111" s="127"/>
      <c r="F111" s="127" t="s">
        <v>291</v>
      </c>
      <c r="G111" s="127"/>
      <c r="H111" s="127"/>
      <c r="I111" s="127"/>
      <c r="J111" s="129"/>
      <c r="K111" s="129"/>
      <c r="L111" s="309"/>
    </row>
    <row r="112" spans="1:12" hidden="1" x14ac:dyDescent="0.25">
      <c r="A112" s="127">
        <v>1</v>
      </c>
      <c r="B112" s="127">
        <v>2</v>
      </c>
      <c r="C112" s="127">
        <v>3</v>
      </c>
      <c r="D112" s="127">
        <v>6</v>
      </c>
      <c r="E112" s="127"/>
      <c r="F112" s="127" t="s">
        <v>292</v>
      </c>
      <c r="G112" s="127"/>
      <c r="H112" s="127"/>
      <c r="I112" s="127"/>
      <c r="J112" s="129"/>
      <c r="K112" s="129"/>
      <c r="L112" s="309"/>
    </row>
    <row r="113" spans="1:12" hidden="1" x14ac:dyDescent="0.25">
      <c r="A113" s="127">
        <v>1</v>
      </c>
      <c r="B113" s="127">
        <v>2</v>
      </c>
      <c r="C113" s="127">
        <v>3</v>
      </c>
      <c r="D113" s="127">
        <v>9</v>
      </c>
      <c r="E113" s="127"/>
      <c r="F113" s="127" t="s">
        <v>293</v>
      </c>
      <c r="G113" s="127"/>
      <c r="H113" s="127"/>
      <c r="I113" s="127"/>
      <c r="J113" s="129"/>
      <c r="K113" s="129"/>
      <c r="L113" s="309"/>
    </row>
    <row r="114" spans="1:12" x14ac:dyDescent="0.25">
      <c r="A114" s="132">
        <v>1</v>
      </c>
      <c r="B114" s="132">
        <v>2</v>
      </c>
      <c r="C114" s="132">
        <v>4</v>
      </c>
      <c r="D114" s="132"/>
      <c r="E114" s="132"/>
      <c r="F114" s="135" t="s">
        <v>124</v>
      </c>
      <c r="G114" s="131">
        <f>+G115+G136+G142+G143+G151+G152+G209+G210</f>
        <v>2488176.27</v>
      </c>
      <c r="H114" s="131">
        <f t="shared" ref="H114:I114" si="8">+H115+H136+H142+H143+H151+H152+H209+H210</f>
        <v>0</v>
      </c>
      <c r="I114" s="131">
        <f t="shared" si="8"/>
        <v>181998.75</v>
      </c>
      <c r="J114" s="131">
        <f>+J115+J136+J142+J143+J151+J152+J209+J210</f>
        <v>2306177.52</v>
      </c>
      <c r="K114" s="131"/>
      <c r="L114" s="309"/>
    </row>
    <row r="115" spans="1:12" x14ac:dyDescent="0.25">
      <c r="A115" s="127">
        <v>1</v>
      </c>
      <c r="B115" s="127">
        <v>2</v>
      </c>
      <c r="C115" s="127">
        <v>4</v>
      </c>
      <c r="D115" s="127">
        <v>1</v>
      </c>
      <c r="E115" s="127"/>
      <c r="F115" s="127" t="s">
        <v>294</v>
      </c>
      <c r="G115" s="134">
        <f>SUM(G116:G135)+1</f>
        <v>291650.16999999993</v>
      </c>
      <c r="H115" s="134">
        <f t="shared" ref="H115:I115" si="9">SUM(H116:H135)</f>
        <v>0</v>
      </c>
      <c r="I115" s="134">
        <f t="shared" si="9"/>
        <v>38436</v>
      </c>
      <c r="J115" s="134">
        <f>SUM(J116:J135)+1</f>
        <v>253214.16999999998</v>
      </c>
      <c r="K115" s="134"/>
      <c r="L115" s="309"/>
    </row>
    <row r="116" spans="1:12" x14ac:dyDescent="0.25">
      <c r="A116" s="127"/>
      <c r="B116" s="127"/>
      <c r="C116" s="127"/>
      <c r="D116" s="127"/>
      <c r="E116" s="127">
        <v>1</v>
      </c>
      <c r="F116" s="339" t="s">
        <v>631</v>
      </c>
      <c r="G116" s="340">
        <v>33925</v>
      </c>
      <c r="H116" s="340">
        <v>0</v>
      </c>
      <c r="I116" s="340">
        <v>31050</v>
      </c>
      <c r="J116" s="340">
        <f t="shared" ref="J116:J141" si="10">+G116+H116-I116</f>
        <v>2875</v>
      </c>
      <c r="K116" s="340"/>
      <c r="L116" s="309"/>
    </row>
    <row r="117" spans="1:12" x14ac:dyDescent="0.25">
      <c r="A117" s="127"/>
      <c r="B117" s="127"/>
      <c r="C117" s="127"/>
      <c r="D117" s="127"/>
      <c r="E117" s="127">
        <v>2</v>
      </c>
      <c r="F117" s="339" t="s">
        <v>632</v>
      </c>
      <c r="G117" s="340">
        <v>23719</v>
      </c>
      <c r="H117" s="340">
        <v>0</v>
      </c>
      <c r="I117" s="340">
        <v>0</v>
      </c>
      <c r="J117" s="340">
        <f t="shared" si="10"/>
        <v>23719</v>
      </c>
      <c r="K117" s="340"/>
      <c r="L117" s="309"/>
    </row>
    <row r="118" spans="1:12" x14ac:dyDescent="0.25">
      <c r="A118" s="127"/>
      <c r="B118" s="127"/>
      <c r="C118" s="127"/>
      <c r="D118" s="127"/>
      <c r="E118" s="127">
        <v>3</v>
      </c>
      <c r="F118" s="339" t="s">
        <v>633</v>
      </c>
      <c r="G118" s="340">
        <v>6789.99</v>
      </c>
      <c r="H118" s="340">
        <v>0</v>
      </c>
      <c r="I118" s="340">
        <v>1978</v>
      </c>
      <c r="J118" s="340">
        <f t="shared" si="10"/>
        <v>4811.99</v>
      </c>
      <c r="K118" s="340"/>
      <c r="L118" s="309"/>
    </row>
    <row r="119" spans="1:12" x14ac:dyDescent="0.25">
      <c r="A119" s="127"/>
      <c r="B119" s="127"/>
      <c r="C119" s="127"/>
      <c r="D119" s="127"/>
      <c r="E119" s="127">
        <v>4</v>
      </c>
      <c r="F119" s="339" t="s">
        <v>634</v>
      </c>
      <c r="G119" s="340">
        <v>137491</v>
      </c>
      <c r="H119" s="340">
        <v>0</v>
      </c>
      <c r="I119" s="340">
        <v>0</v>
      </c>
      <c r="J119" s="340">
        <f t="shared" si="10"/>
        <v>137491</v>
      </c>
      <c r="K119" s="340"/>
      <c r="L119" s="309"/>
    </row>
    <row r="120" spans="1:12" x14ac:dyDescent="0.25">
      <c r="A120" s="127"/>
      <c r="B120" s="127"/>
      <c r="C120" s="127"/>
      <c r="D120" s="127"/>
      <c r="E120" s="127">
        <v>5</v>
      </c>
      <c r="F120" s="339" t="s">
        <v>635</v>
      </c>
      <c r="G120" s="340">
        <v>17294.34</v>
      </c>
      <c r="H120" s="340">
        <v>0</v>
      </c>
      <c r="I120" s="340">
        <v>0</v>
      </c>
      <c r="J120" s="340">
        <f t="shared" si="10"/>
        <v>17294.34</v>
      </c>
      <c r="K120" s="340"/>
      <c r="L120" s="309"/>
    </row>
    <row r="121" spans="1:12" x14ac:dyDescent="0.25">
      <c r="A121" s="127"/>
      <c r="B121" s="127"/>
      <c r="C121" s="127"/>
      <c r="D121" s="127"/>
      <c r="E121" s="127">
        <v>6</v>
      </c>
      <c r="F121" s="339" t="s">
        <v>636</v>
      </c>
      <c r="G121" s="340">
        <v>1592.06</v>
      </c>
      <c r="H121" s="340">
        <v>0</v>
      </c>
      <c r="I121" s="340">
        <v>0</v>
      </c>
      <c r="J121" s="340">
        <f t="shared" si="10"/>
        <v>1592.06</v>
      </c>
      <c r="K121" s="340"/>
      <c r="L121" s="309"/>
    </row>
    <row r="122" spans="1:12" x14ac:dyDescent="0.25">
      <c r="A122" s="127"/>
      <c r="B122" s="127"/>
      <c r="C122" s="127"/>
      <c r="D122" s="127"/>
      <c r="E122" s="127">
        <v>7</v>
      </c>
      <c r="F122" s="339" t="s">
        <v>637</v>
      </c>
      <c r="G122" s="340">
        <v>4500</v>
      </c>
      <c r="H122" s="340">
        <v>0</v>
      </c>
      <c r="I122" s="340">
        <v>4500</v>
      </c>
      <c r="J122" s="340">
        <f t="shared" si="10"/>
        <v>0</v>
      </c>
      <c r="K122" s="340"/>
      <c r="L122" s="309"/>
    </row>
    <row r="123" spans="1:12" x14ac:dyDescent="0.25">
      <c r="A123" s="127"/>
      <c r="B123" s="127"/>
      <c r="C123" s="127"/>
      <c r="D123" s="127"/>
      <c r="E123" s="127">
        <v>8</v>
      </c>
      <c r="F123" s="339" t="s">
        <v>638</v>
      </c>
      <c r="G123" s="340">
        <v>15850.76</v>
      </c>
      <c r="H123" s="340">
        <v>0</v>
      </c>
      <c r="I123" s="340">
        <v>0</v>
      </c>
      <c r="J123" s="340">
        <f t="shared" si="10"/>
        <v>15850.76</v>
      </c>
      <c r="K123" s="340"/>
      <c r="L123" s="309"/>
    </row>
    <row r="124" spans="1:12" x14ac:dyDescent="0.25">
      <c r="A124" s="127"/>
      <c r="B124" s="127"/>
      <c r="C124" s="127"/>
      <c r="D124" s="127"/>
      <c r="E124" s="127">
        <v>9</v>
      </c>
      <c r="F124" s="339" t="s">
        <v>639</v>
      </c>
      <c r="G124" s="340">
        <v>5348.71</v>
      </c>
      <c r="H124" s="340">
        <v>0</v>
      </c>
      <c r="I124" s="340">
        <v>0</v>
      </c>
      <c r="J124" s="340">
        <f t="shared" si="10"/>
        <v>5348.71</v>
      </c>
      <c r="K124" s="340"/>
      <c r="L124" s="309"/>
    </row>
    <row r="125" spans="1:12" x14ac:dyDescent="0.25">
      <c r="A125" s="127"/>
      <c r="B125" s="127"/>
      <c r="C125" s="127"/>
      <c r="D125" s="127"/>
      <c r="E125" s="127">
        <v>10</v>
      </c>
      <c r="F125" s="339" t="s">
        <v>640</v>
      </c>
      <c r="G125" s="340">
        <v>3220</v>
      </c>
      <c r="H125" s="340">
        <v>0</v>
      </c>
      <c r="I125" s="340">
        <v>0</v>
      </c>
      <c r="J125" s="340">
        <f t="shared" si="10"/>
        <v>3220</v>
      </c>
      <c r="K125" s="340"/>
      <c r="L125" s="309"/>
    </row>
    <row r="126" spans="1:12" x14ac:dyDescent="0.25">
      <c r="A126" s="127"/>
      <c r="B126" s="127"/>
      <c r="C126" s="127"/>
      <c r="D126" s="127"/>
      <c r="E126" s="127">
        <v>11</v>
      </c>
      <c r="F126" s="339" t="s">
        <v>641</v>
      </c>
      <c r="G126" s="340">
        <v>1380</v>
      </c>
      <c r="H126" s="340">
        <v>0</v>
      </c>
      <c r="I126" s="340">
        <v>0</v>
      </c>
      <c r="J126" s="340">
        <f t="shared" si="10"/>
        <v>1380</v>
      </c>
      <c r="K126" s="340"/>
      <c r="L126" s="309"/>
    </row>
    <row r="127" spans="1:12" x14ac:dyDescent="0.25">
      <c r="A127" s="127"/>
      <c r="B127" s="127"/>
      <c r="C127" s="127"/>
      <c r="D127" s="127"/>
      <c r="E127" s="127">
        <v>12</v>
      </c>
      <c r="F127" s="339" t="s">
        <v>642</v>
      </c>
      <c r="G127" s="340">
        <v>7923.86</v>
      </c>
      <c r="H127" s="340">
        <v>0</v>
      </c>
      <c r="I127" s="340">
        <v>0</v>
      </c>
      <c r="J127" s="340">
        <f t="shared" si="10"/>
        <v>7923.86</v>
      </c>
      <c r="K127" s="340"/>
      <c r="L127" s="309"/>
    </row>
    <row r="128" spans="1:12" x14ac:dyDescent="0.25">
      <c r="A128" s="127"/>
      <c r="B128" s="127"/>
      <c r="C128" s="127"/>
      <c r="D128" s="127"/>
      <c r="E128" s="127">
        <v>13</v>
      </c>
      <c r="F128" s="339" t="s">
        <v>643</v>
      </c>
      <c r="G128" s="340">
        <v>4690.8500000000004</v>
      </c>
      <c r="H128" s="340">
        <v>0</v>
      </c>
      <c r="I128" s="340">
        <v>0</v>
      </c>
      <c r="J128" s="340">
        <f t="shared" si="10"/>
        <v>4690.8500000000004</v>
      </c>
      <c r="K128" s="340"/>
      <c r="L128" s="309"/>
    </row>
    <row r="129" spans="1:12" x14ac:dyDescent="0.25">
      <c r="A129" s="127"/>
      <c r="B129" s="127"/>
      <c r="C129" s="127"/>
      <c r="D129" s="127"/>
      <c r="E129" s="127">
        <v>14</v>
      </c>
      <c r="F129" s="339" t="s">
        <v>644</v>
      </c>
      <c r="G129" s="340">
        <v>1469</v>
      </c>
      <c r="H129" s="340">
        <v>0</v>
      </c>
      <c r="I129" s="340">
        <v>0</v>
      </c>
      <c r="J129" s="340">
        <f t="shared" si="10"/>
        <v>1469</v>
      </c>
      <c r="K129" s="340"/>
      <c r="L129" s="309"/>
    </row>
    <row r="130" spans="1:12" x14ac:dyDescent="0.25">
      <c r="A130" s="127"/>
      <c r="B130" s="127"/>
      <c r="C130" s="127"/>
      <c r="D130" s="127"/>
      <c r="E130" s="127">
        <v>15</v>
      </c>
      <c r="F130" s="339" t="s">
        <v>645</v>
      </c>
      <c r="G130" s="340">
        <v>4907.96</v>
      </c>
      <c r="H130" s="340">
        <v>0</v>
      </c>
      <c r="I130" s="340">
        <v>0</v>
      </c>
      <c r="J130" s="340">
        <f t="shared" si="10"/>
        <v>4907.96</v>
      </c>
      <c r="K130" s="340"/>
      <c r="L130" s="309"/>
    </row>
    <row r="131" spans="1:12" x14ac:dyDescent="0.25">
      <c r="A131" s="127"/>
      <c r="B131" s="127"/>
      <c r="C131" s="127"/>
      <c r="D131" s="127"/>
      <c r="E131" s="127">
        <v>16</v>
      </c>
      <c r="F131" s="339" t="s">
        <v>646</v>
      </c>
      <c r="G131" s="340">
        <v>4338</v>
      </c>
      <c r="H131" s="340">
        <v>0</v>
      </c>
      <c r="I131" s="340">
        <v>0</v>
      </c>
      <c r="J131" s="340">
        <f t="shared" si="10"/>
        <v>4338</v>
      </c>
      <c r="K131" s="340"/>
      <c r="L131" s="309"/>
    </row>
    <row r="132" spans="1:12" x14ac:dyDescent="0.25">
      <c r="A132" s="127"/>
      <c r="B132" s="127"/>
      <c r="C132" s="127"/>
      <c r="D132" s="127"/>
      <c r="E132" s="127">
        <v>17</v>
      </c>
      <c r="F132" s="339" t="s">
        <v>647</v>
      </c>
      <c r="G132" s="340">
        <v>3314.73</v>
      </c>
      <c r="H132" s="340">
        <v>0</v>
      </c>
      <c r="I132" s="340">
        <v>908</v>
      </c>
      <c r="J132" s="340">
        <f t="shared" si="10"/>
        <v>2406.73</v>
      </c>
      <c r="K132" s="340"/>
      <c r="L132" s="309"/>
    </row>
    <row r="133" spans="1:12" x14ac:dyDescent="0.25">
      <c r="A133" s="127"/>
      <c r="B133" s="127"/>
      <c r="C133" s="127"/>
      <c r="D133" s="127"/>
      <c r="E133" s="127">
        <v>18</v>
      </c>
      <c r="F133" s="339" t="s">
        <v>648</v>
      </c>
      <c r="G133" s="340">
        <v>1274.9100000000001</v>
      </c>
      <c r="H133" s="340">
        <v>0</v>
      </c>
      <c r="I133" s="340">
        <v>0</v>
      </c>
      <c r="J133" s="340">
        <f t="shared" si="10"/>
        <v>1274.9100000000001</v>
      </c>
      <c r="K133" s="340"/>
      <c r="L133" s="309"/>
    </row>
    <row r="134" spans="1:12" x14ac:dyDescent="0.25">
      <c r="A134" s="127"/>
      <c r="B134" s="127"/>
      <c r="C134" s="127"/>
      <c r="D134" s="127"/>
      <c r="E134" s="127">
        <v>19</v>
      </c>
      <c r="F134" s="339" t="s">
        <v>649</v>
      </c>
      <c r="G134" s="340">
        <v>2699</v>
      </c>
      <c r="H134" s="340">
        <v>0</v>
      </c>
      <c r="I134" s="340">
        <v>0</v>
      </c>
      <c r="J134" s="340">
        <f t="shared" si="10"/>
        <v>2699</v>
      </c>
      <c r="K134" s="340"/>
      <c r="L134" s="309"/>
    </row>
    <row r="135" spans="1:12" x14ac:dyDescent="0.25">
      <c r="A135" s="127"/>
      <c r="B135" s="127"/>
      <c r="C135" s="127"/>
      <c r="D135" s="127"/>
      <c r="E135" s="127">
        <v>20</v>
      </c>
      <c r="F135" s="339" t="s">
        <v>708</v>
      </c>
      <c r="G135" s="340">
        <v>9920</v>
      </c>
      <c r="H135" s="340">
        <v>0</v>
      </c>
      <c r="I135" s="340">
        <v>0</v>
      </c>
      <c r="J135" s="340">
        <f t="shared" si="10"/>
        <v>9920</v>
      </c>
      <c r="K135" s="340"/>
      <c r="L135" s="309"/>
    </row>
    <row r="136" spans="1:12" x14ac:dyDescent="0.25">
      <c r="A136" s="338">
        <v>1</v>
      </c>
      <c r="B136" s="338">
        <v>2</v>
      </c>
      <c r="C136" s="127">
        <v>4</v>
      </c>
      <c r="D136" s="127">
        <v>2</v>
      </c>
      <c r="E136" s="127"/>
      <c r="F136" s="127" t="s">
        <v>295</v>
      </c>
      <c r="G136" s="156">
        <f>SUM(G137:G141)</f>
        <v>849685.39</v>
      </c>
      <c r="H136" s="465"/>
      <c r="I136" s="465"/>
      <c r="J136" s="156">
        <f>SUM(J137:J141)</f>
        <v>849685.39</v>
      </c>
      <c r="K136" s="159"/>
      <c r="L136" s="309"/>
    </row>
    <row r="137" spans="1:12" x14ac:dyDescent="0.25">
      <c r="A137" s="309"/>
      <c r="B137" s="309"/>
      <c r="C137" s="127"/>
      <c r="D137" s="127"/>
      <c r="E137" s="127">
        <v>1</v>
      </c>
      <c r="F137" s="339" t="s">
        <v>650</v>
      </c>
      <c r="G137" s="340">
        <f>752484.09+1</f>
        <v>752485.09</v>
      </c>
      <c r="H137" s="340">
        <v>0</v>
      </c>
      <c r="I137" s="340">
        <v>0</v>
      </c>
      <c r="J137" s="340">
        <f t="shared" si="10"/>
        <v>752485.09</v>
      </c>
      <c r="K137" s="340"/>
      <c r="L137" s="309"/>
    </row>
    <row r="138" spans="1:12" x14ac:dyDescent="0.25">
      <c r="A138" s="309"/>
      <c r="B138" s="309"/>
      <c r="C138" s="127"/>
      <c r="D138" s="127"/>
      <c r="E138" s="127">
        <v>2</v>
      </c>
      <c r="F138" s="339" t="s">
        <v>651</v>
      </c>
      <c r="G138" s="340">
        <v>4800</v>
      </c>
      <c r="H138" s="340">
        <v>0</v>
      </c>
      <c r="I138" s="340">
        <v>0</v>
      </c>
      <c r="J138" s="340">
        <f t="shared" si="10"/>
        <v>4800</v>
      </c>
      <c r="K138" s="340"/>
      <c r="L138" s="309"/>
    </row>
    <row r="139" spans="1:12" x14ac:dyDescent="0.25">
      <c r="A139" s="309"/>
      <c r="B139" s="309"/>
      <c r="C139" s="127"/>
      <c r="D139" s="127"/>
      <c r="E139" s="127">
        <v>3</v>
      </c>
      <c r="F139" s="339" t="s">
        <v>652</v>
      </c>
      <c r="G139" s="340">
        <v>506</v>
      </c>
      <c r="H139" s="340">
        <v>0</v>
      </c>
      <c r="I139" s="340">
        <v>0</v>
      </c>
      <c r="J139" s="340">
        <f t="shared" si="10"/>
        <v>506</v>
      </c>
      <c r="K139" s="340"/>
      <c r="L139" s="309"/>
    </row>
    <row r="140" spans="1:12" x14ac:dyDescent="0.25">
      <c r="A140" s="309"/>
      <c r="B140" s="309"/>
      <c r="C140" s="127"/>
      <c r="D140" s="127"/>
      <c r="E140" s="127">
        <v>4</v>
      </c>
      <c r="F140" s="339" t="s">
        <v>653</v>
      </c>
      <c r="G140" s="340">
        <v>10667.5</v>
      </c>
      <c r="H140" s="340">
        <v>0</v>
      </c>
      <c r="I140" s="340">
        <v>0</v>
      </c>
      <c r="J140" s="340">
        <f t="shared" si="10"/>
        <v>10667.5</v>
      </c>
      <c r="K140" s="340"/>
      <c r="L140" s="309"/>
    </row>
    <row r="141" spans="1:12" x14ac:dyDescent="0.25">
      <c r="A141" s="309"/>
      <c r="B141" s="309"/>
      <c r="C141" s="127"/>
      <c r="D141" s="127"/>
      <c r="E141" s="127">
        <v>5</v>
      </c>
      <c r="F141" s="339" t="s">
        <v>654</v>
      </c>
      <c r="G141" s="340">
        <v>81226.8</v>
      </c>
      <c r="H141" s="340">
        <v>0</v>
      </c>
      <c r="I141" s="340">
        <v>0</v>
      </c>
      <c r="J141" s="340">
        <f t="shared" si="10"/>
        <v>81226.8</v>
      </c>
      <c r="K141" s="340"/>
      <c r="L141" s="309"/>
    </row>
    <row r="142" spans="1:12" x14ac:dyDescent="0.25">
      <c r="A142" s="338">
        <v>1</v>
      </c>
      <c r="B142" s="338">
        <v>2</v>
      </c>
      <c r="C142" s="127">
        <v>4</v>
      </c>
      <c r="D142" s="127">
        <v>3</v>
      </c>
      <c r="E142" s="127"/>
      <c r="F142" s="127" t="s">
        <v>296</v>
      </c>
      <c r="G142" s="127"/>
      <c r="H142" s="127"/>
      <c r="I142" s="127"/>
      <c r="J142" s="127"/>
      <c r="K142" s="127"/>
      <c r="L142" s="309"/>
    </row>
    <row r="143" spans="1:12" x14ac:dyDescent="0.25">
      <c r="A143" s="338">
        <v>1</v>
      </c>
      <c r="B143" s="338">
        <v>2</v>
      </c>
      <c r="C143" s="127">
        <v>4</v>
      </c>
      <c r="D143" s="127">
        <v>4</v>
      </c>
      <c r="E143" s="127"/>
      <c r="F143" s="127" t="s">
        <v>297</v>
      </c>
      <c r="G143" s="156">
        <f t="shared" ref="G143:I143" si="11">SUM(G144:G150)</f>
        <v>613500</v>
      </c>
      <c r="H143" s="156">
        <f t="shared" si="11"/>
        <v>0</v>
      </c>
      <c r="I143" s="156">
        <f t="shared" si="11"/>
        <v>0</v>
      </c>
      <c r="J143" s="156">
        <f>SUM(J144:J150)</f>
        <v>613500</v>
      </c>
      <c r="K143" s="156"/>
      <c r="L143" s="309"/>
    </row>
    <row r="144" spans="1:12" x14ac:dyDescent="0.25">
      <c r="A144" s="309"/>
      <c r="B144" s="309"/>
      <c r="C144" s="127"/>
      <c r="D144" s="127"/>
      <c r="E144" s="127"/>
      <c r="F144" s="339" t="s">
        <v>655</v>
      </c>
      <c r="G144" s="340">
        <v>0</v>
      </c>
      <c r="H144" s="340">
        <v>0</v>
      </c>
      <c r="I144" s="340">
        <v>0</v>
      </c>
      <c r="J144" s="340">
        <f t="shared" ref="J144:J150" si="12">+G144+H144-I144</f>
        <v>0</v>
      </c>
      <c r="K144" s="340"/>
      <c r="L144" s="309"/>
    </row>
    <row r="145" spans="1:12" x14ac:dyDescent="0.25">
      <c r="A145" s="309"/>
      <c r="B145" s="309"/>
      <c r="C145" s="127"/>
      <c r="D145" s="127"/>
      <c r="E145" s="127"/>
      <c r="F145" s="339" t="s">
        <v>656</v>
      </c>
      <c r="G145" s="340">
        <v>169900</v>
      </c>
      <c r="H145" s="340">
        <v>0</v>
      </c>
      <c r="I145" s="340">
        <v>0</v>
      </c>
      <c r="J145" s="340">
        <f t="shared" si="12"/>
        <v>169900</v>
      </c>
      <c r="K145" s="340"/>
      <c r="L145" s="309"/>
    </row>
    <row r="146" spans="1:12" x14ac:dyDescent="0.25">
      <c r="A146" s="309"/>
      <c r="B146" s="309"/>
      <c r="C146" s="127"/>
      <c r="D146" s="127"/>
      <c r="E146" s="127"/>
      <c r="F146" s="339" t="s">
        <v>657</v>
      </c>
      <c r="G146" s="340">
        <v>0</v>
      </c>
      <c r="H146" s="340">
        <v>0</v>
      </c>
      <c r="I146" s="340">
        <v>0</v>
      </c>
      <c r="J146" s="340">
        <f t="shared" si="12"/>
        <v>0</v>
      </c>
      <c r="K146" s="340"/>
      <c r="L146" s="309"/>
    </row>
    <row r="147" spans="1:12" x14ac:dyDescent="0.25">
      <c r="A147" s="309"/>
      <c r="B147" s="309"/>
      <c r="C147" s="127"/>
      <c r="D147" s="127"/>
      <c r="E147" s="127"/>
      <c r="F147" s="339" t="s">
        <v>658</v>
      </c>
      <c r="G147" s="340">
        <v>0</v>
      </c>
      <c r="H147" s="340">
        <v>0</v>
      </c>
      <c r="I147" s="340">
        <v>0</v>
      </c>
      <c r="J147" s="340">
        <f t="shared" si="12"/>
        <v>0</v>
      </c>
      <c r="K147" s="340"/>
      <c r="L147" s="309"/>
    </row>
    <row r="148" spans="1:12" x14ac:dyDescent="0.25">
      <c r="A148" s="309"/>
      <c r="B148" s="309"/>
      <c r="C148" s="127"/>
      <c r="D148" s="127"/>
      <c r="E148" s="127"/>
      <c r="F148" s="339" t="s">
        <v>659</v>
      </c>
      <c r="G148" s="340">
        <v>0</v>
      </c>
      <c r="H148" s="340">
        <v>0</v>
      </c>
      <c r="I148" s="340">
        <v>0</v>
      </c>
      <c r="J148" s="340">
        <f t="shared" si="12"/>
        <v>0</v>
      </c>
      <c r="K148" s="340"/>
      <c r="L148" s="309"/>
    </row>
    <row r="149" spans="1:12" x14ac:dyDescent="0.25">
      <c r="A149" s="309"/>
      <c r="B149" s="309"/>
      <c r="C149" s="127"/>
      <c r="D149" s="127"/>
      <c r="E149" s="127"/>
      <c r="F149" s="339" t="s">
        <v>660</v>
      </c>
      <c r="G149" s="340">
        <v>303900</v>
      </c>
      <c r="H149" s="340">
        <v>0</v>
      </c>
      <c r="I149" s="340">
        <v>0</v>
      </c>
      <c r="J149" s="340">
        <f t="shared" si="12"/>
        <v>303900</v>
      </c>
      <c r="K149" s="340"/>
      <c r="L149" s="309"/>
    </row>
    <row r="150" spans="1:12" x14ac:dyDescent="0.25">
      <c r="A150" s="309"/>
      <c r="B150" s="309"/>
      <c r="C150" s="127"/>
      <c r="D150" s="127"/>
      <c r="E150" s="127"/>
      <c r="F150" s="339" t="s">
        <v>742</v>
      </c>
      <c r="G150" s="340">
        <v>139700</v>
      </c>
      <c r="H150" s="340">
        <v>0</v>
      </c>
      <c r="I150" s="340">
        <v>0</v>
      </c>
      <c r="J150" s="340">
        <f t="shared" si="12"/>
        <v>139700</v>
      </c>
      <c r="K150" s="340"/>
      <c r="L150" s="309"/>
    </row>
    <row r="151" spans="1:12" x14ac:dyDescent="0.25">
      <c r="A151" s="338">
        <v>1</v>
      </c>
      <c r="B151" s="338">
        <v>2</v>
      </c>
      <c r="C151" s="127">
        <v>4</v>
      </c>
      <c r="D151" s="127">
        <v>5</v>
      </c>
      <c r="E151" s="127"/>
      <c r="F151" s="127" t="s">
        <v>298</v>
      </c>
      <c r="G151" s="127"/>
      <c r="H151" s="127"/>
      <c r="I151" s="127"/>
      <c r="J151" s="127"/>
      <c r="K151" s="127"/>
      <c r="L151" s="309"/>
    </row>
    <row r="152" spans="1:12" x14ac:dyDescent="0.25">
      <c r="A152" s="338">
        <v>1</v>
      </c>
      <c r="B152" s="338">
        <v>2</v>
      </c>
      <c r="C152" s="127">
        <v>4</v>
      </c>
      <c r="D152" s="127">
        <v>6</v>
      </c>
      <c r="E152" s="127"/>
      <c r="F152" s="127" t="s">
        <v>299</v>
      </c>
      <c r="G152" s="156">
        <f t="shared" ref="G152:I152" si="13">SUM(G153:G208)</f>
        <v>733340.71000000008</v>
      </c>
      <c r="H152" s="156">
        <f t="shared" si="13"/>
        <v>0</v>
      </c>
      <c r="I152" s="156">
        <f t="shared" si="13"/>
        <v>143562.75</v>
      </c>
      <c r="J152" s="156">
        <f>SUM(J153:J208)</f>
        <v>589777.96000000008</v>
      </c>
      <c r="K152" s="156"/>
      <c r="L152" s="309"/>
    </row>
    <row r="153" spans="1:12" x14ac:dyDescent="0.25">
      <c r="A153" s="309"/>
      <c r="B153" s="309"/>
      <c r="C153" s="127"/>
      <c r="D153" s="127"/>
      <c r="E153" s="127">
        <v>1</v>
      </c>
      <c r="F153" s="339" t="s">
        <v>661</v>
      </c>
      <c r="G153" s="340">
        <v>12834.77</v>
      </c>
      <c r="H153" s="340">
        <v>0</v>
      </c>
      <c r="I153" s="340">
        <v>0</v>
      </c>
      <c r="J153" s="340">
        <f t="shared" ref="J153:J208" si="14">+G153+H153-I153</f>
        <v>12834.77</v>
      </c>
      <c r="K153" s="340"/>
      <c r="L153" s="309"/>
    </row>
    <row r="154" spans="1:12" x14ac:dyDescent="0.25">
      <c r="A154" s="309"/>
      <c r="B154" s="309"/>
      <c r="C154" s="127"/>
      <c r="D154" s="127"/>
      <c r="E154" s="127">
        <v>2</v>
      </c>
      <c r="F154" s="339" t="s">
        <v>662</v>
      </c>
      <c r="G154" s="340">
        <v>22712.5</v>
      </c>
      <c r="H154" s="340">
        <v>0</v>
      </c>
      <c r="I154" s="340">
        <v>22712.5</v>
      </c>
      <c r="J154" s="340">
        <f t="shared" si="14"/>
        <v>0</v>
      </c>
      <c r="K154" s="340"/>
      <c r="L154" s="309"/>
    </row>
    <row r="155" spans="1:12" x14ac:dyDescent="0.25">
      <c r="A155" s="309"/>
      <c r="B155" s="309"/>
      <c r="C155" s="127"/>
      <c r="D155" s="127"/>
      <c r="E155" s="127">
        <v>3</v>
      </c>
      <c r="F155" s="339" t="s">
        <v>663</v>
      </c>
      <c r="G155" s="340">
        <v>69147.199999999997</v>
      </c>
      <c r="H155" s="340">
        <v>0</v>
      </c>
      <c r="I155" s="340">
        <v>0</v>
      </c>
      <c r="J155" s="340">
        <f t="shared" si="14"/>
        <v>69147.199999999997</v>
      </c>
      <c r="K155" s="340"/>
      <c r="L155" s="309"/>
    </row>
    <row r="156" spans="1:12" x14ac:dyDescent="0.25">
      <c r="A156" s="309"/>
      <c r="B156" s="309"/>
      <c r="C156" s="127"/>
      <c r="D156" s="127"/>
      <c r="E156" s="127">
        <v>4</v>
      </c>
      <c r="F156" s="339" t="s">
        <v>664</v>
      </c>
      <c r="G156" s="340">
        <v>2547.25</v>
      </c>
      <c r="H156" s="340">
        <v>0</v>
      </c>
      <c r="I156" s="340">
        <v>2547.25</v>
      </c>
      <c r="J156" s="340">
        <f t="shared" si="14"/>
        <v>0</v>
      </c>
      <c r="K156" s="340"/>
      <c r="L156" s="309"/>
    </row>
    <row r="157" spans="1:12" x14ac:dyDescent="0.25">
      <c r="A157" s="309"/>
      <c r="B157" s="309"/>
      <c r="C157" s="127"/>
      <c r="D157" s="127"/>
      <c r="E157" s="127">
        <v>5</v>
      </c>
      <c r="F157" s="339" t="s">
        <v>665</v>
      </c>
      <c r="G157" s="340">
        <v>46977.5</v>
      </c>
      <c r="H157" s="340">
        <v>0</v>
      </c>
      <c r="I157" s="340">
        <v>18687.5</v>
      </c>
      <c r="J157" s="340">
        <f t="shared" si="14"/>
        <v>28290</v>
      </c>
      <c r="K157" s="340"/>
      <c r="L157" s="309"/>
    </row>
    <row r="158" spans="1:12" x14ac:dyDescent="0.25">
      <c r="A158" s="309"/>
      <c r="B158" s="309"/>
      <c r="C158" s="127"/>
      <c r="D158" s="127"/>
      <c r="E158" s="127">
        <v>6</v>
      </c>
      <c r="F158" s="339" t="s">
        <v>666</v>
      </c>
      <c r="G158" s="340">
        <v>21620</v>
      </c>
      <c r="H158" s="340">
        <v>0</v>
      </c>
      <c r="I158" s="340">
        <v>0</v>
      </c>
      <c r="J158" s="340">
        <f t="shared" si="14"/>
        <v>21620</v>
      </c>
      <c r="K158" s="340"/>
      <c r="L158" s="309"/>
    </row>
    <row r="159" spans="1:12" x14ac:dyDescent="0.25">
      <c r="A159" s="309"/>
      <c r="B159" s="309"/>
      <c r="C159" s="127"/>
      <c r="D159" s="127"/>
      <c r="E159" s="127">
        <v>7</v>
      </c>
      <c r="F159" s="339" t="s">
        <v>667</v>
      </c>
      <c r="G159" s="340">
        <v>690</v>
      </c>
      <c r="H159" s="340">
        <v>0</v>
      </c>
      <c r="I159" s="340">
        <v>0</v>
      </c>
      <c r="J159" s="340">
        <f t="shared" si="14"/>
        <v>690</v>
      </c>
      <c r="K159" s="340"/>
      <c r="L159" s="309"/>
    </row>
    <row r="160" spans="1:12" x14ac:dyDescent="0.25">
      <c r="A160" s="309"/>
      <c r="B160" s="309"/>
      <c r="C160" s="127"/>
      <c r="D160" s="127"/>
      <c r="E160" s="127">
        <v>8</v>
      </c>
      <c r="F160" s="339" t="s">
        <v>668</v>
      </c>
      <c r="G160" s="340">
        <v>1150</v>
      </c>
      <c r="H160" s="340">
        <v>0</v>
      </c>
      <c r="I160" s="340">
        <v>0</v>
      </c>
      <c r="J160" s="340">
        <f t="shared" si="14"/>
        <v>1150</v>
      </c>
      <c r="K160" s="340"/>
      <c r="L160" s="309"/>
    </row>
    <row r="161" spans="1:12" x14ac:dyDescent="0.25">
      <c r="A161" s="309"/>
      <c r="B161" s="309"/>
      <c r="C161" s="127"/>
      <c r="D161" s="127"/>
      <c r="E161" s="127">
        <v>9</v>
      </c>
      <c r="F161" s="339" t="s">
        <v>669</v>
      </c>
      <c r="G161" s="340">
        <v>120367.62</v>
      </c>
      <c r="H161" s="340">
        <v>0</v>
      </c>
      <c r="I161" s="340">
        <v>0</v>
      </c>
      <c r="J161" s="340">
        <f t="shared" si="14"/>
        <v>120367.62</v>
      </c>
      <c r="K161" s="340"/>
      <c r="L161" s="309"/>
    </row>
    <row r="162" spans="1:12" x14ac:dyDescent="0.25">
      <c r="A162" s="309"/>
      <c r="B162" s="309"/>
      <c r="C162" s="127"/>
      <c r="D162" s="127"/>
      <c r="E162" s="127">
        <v>10</v>
      </c>
      <c r="F162" s="339" t="s">
        <v>670</v>
      </c>
      <c r="G162" s="340">
        <v>1299.01</v>
      </c>
      <c r="H162" s="340">
        <v>0</v>
      </c>
      <c r="I162" s="340">
        <v>0</v>
      </c>
      <c r="J162" s="340">
        <f t="shared" si="14"/>
        <v>1299.01</v>
      </c>
      <c r="K162" s="340"/>
      <c r="L162" s="309"/>
    </row>
    <row r="163" spans="1:12" x14ac:dyDescent="0.25">
      <c r="A163" s="309"/>
      <c r="B163" s="309"/>
      <c r="C163" s="127"/>
      <c r="D163" s="127"/>
      <c r="E163" s="127">
        <v>11</v>
      </c>
      <c r="F163" s="339" t="s">
        <v>671</v>
      </c>
      <c r="G163" s="340">
        <v>1849</v>
      </c>
      <c r="H163" s="340">
        <v>0</v>
      </c>
      <c r="I163" s="340">
        <v>0</v>
      </c>
      <c r="J163" s="340">
        <f t="shared" si="14"/>
        <v>1849</v>
      </c>
      <c r="K163" s="340"/>
      <c r="L163" s="309"/>
    </row>
    <row r="164" spans="1:12" x14ac:dyDescent="0.25">
      <c r="A164" s="309"/>
      <c r="B164" s="309"/>
      <c r="C164" s="127"/>
      <c r="D164" s="127"/>
      <c r="E164" s="127">
        <v>12</v>
      </c>
      <c r="F164" s="339" t="s">
        <v>672</v>
      </c>
      <c r="G164" s="340">
        <v>16499</v>
      </c>
      <c r="H164" s="340">
        <v>0</v>
      </c>
      <c r="I164" s="340">
        <v>0</v>
      </c>
      <c r="J164" s="340">
        <f t="shared" si="14"/>
        <v>16499</v>
      </c>
      <c r="K164" s="340"/>
      <c r="L164" s="309"/>
    </row>
    <row r="165" spans="1:12" x14ac:dyDescent="0.25">
      <c r="A165" s="309"/>
      <c r="B165" s="309"/>
      <c r="C165" s="127"/>
      <c r="D165" s="127"/>
      <c r="E165" s="127">
        <v>13</v>
      </c>
      <c r="F165" s="339" t="s">
        <v>673</v>
      </c>
      <c r="G165" s="340">
        <v>6250</v>
      </c>
      <c r="H165" s="340">
        <v>0</v>
      </c>
      <c r="I165" s="340">
        <v>6250</v>
      </c>
      <c r="J165" s="340">
        <f t="shared" si="14"/>
        <v>0</v>
      </c>
      <c r="K165" s="340"/>
      <c r="L165" s="309"/>
    </row>
    <row r="166" spans="1:12" x14ac:dyDescent="0.25">
      <c r="A166" s="309"/>
      <c r="B166" s="309"/>
      <c r="C166" s="127"/>
      <c r="D166" s="127"/>
      <c r="E166" s="127">
        <v>14</v>
      </c>
      <c r="F166" s="339" t="s">
        <v>673</v>
      </c>
      <c r="G166" s="340">
        <v>6250</v>
      </c>
      <c r="H166" s="340">
        <v>0</v>
      </c>
      <c r="I166" s="340">
        <v>0</v>
      </c>
      <c r="J166" s="340">
        <f t="shared" si="14"/>
        <v>6250</v>
      </c>
      <c r="K166" s="340"/>
      <c r="L166" s="309"/>
    </row>
    <row r="167" spans="1:12" x14ac:dyDescent="0.25">
      <c r="A167" s="309"/>
      <c r="B167" s="309"/>
      <c r="C167" s="127"/>
      <c r="D167" s="127"/>
      <c r="E167" s="127">
        <v>15</v>
      </c>
      <c r="F167" s="339" t="s">
        <v>673</v>
      </c>
      <c r="G167" s="340">
        <v>6250</v>
      </c>
      <c r="H167" s="340">
        <v>0</v>
      </c>
      <c r="I167" s="340">
        <v>0</v>
      </c>
      <c r="J167" s="340">
        <f t="shared" si="14"/>
        <v>6250</v>
      </c>
      <c r="K167" s="340"/>
      <c r="L167" s="309"/>
    </row>
    <row r="168" spans="1:12" x14ac:dyDescent="0.25">
      <c r="A168" s="309"/>
      <c r="B168" s="309"/>
      <c r="C168" s="127"/>
      <c r="D168" s="127"/>
      <c r="E168" s="127">
        <v>16</v>
      </c>
      <c r="F168" s="339" t="s">
        <v>673</v>
      </c>
      <c r="G168" s="340">
        <v>6250</v>
      </c>
      <c r="H168" s="340">
        <v>0</v>
      </c>
      <c r="I168" s="340">
        <v>0</v>
      </c>
      <c r="J168" s="340">
        <f t="shared" si="14"/>
        <v>6250</v>
      </c>
      <c r="K168" s="340"/>
      <c r="L168" s="309"/>
    </row>
    <row r="169" spans="1:12" x14ac:dyDescent="0.25">
      <c r="A169" s="309"/>
      <c r="B169" s="309"/>
      <c r="C169" s="127"/>
      <c r="D169" s="127"/>
      <c r="E169" s="127">
        <v>17</v>
      </c>
      <c r="F169" s="339" t="s">
        <v>674</v>
      </c>
      <c r="G169" s="340">
        <v>7650</v>
      </c>
      <c r="H169" s="340">
        <v>0</v>
      </c>
      <c r="I169" s="340">
        <v>0</v>
      </c>
      <c r="J169" s="340">
        <f t="shared" si="14"/>
        <v>7650</v>
      </c>
      <c r="K169" s="340"/>
      <c r="L169" s="309"/>
    </row>
    <row r="170" spans="1:12" x14ac:dyDescent="0.25">
      <c r="A170" s="309"/>
      <c r="B170" s="309"/>
      <c r="C170" s="127"/>
      <c r="D170" s="127"/>
      <c r="E170" s="127">
        <v>18</v>
      </c>
      <c r="F170" s="339" t="s">
        <v>675</v>
      </c>
      <c r="G170" s="340">
        <v>2204</v>
      </c>
      <c r="H170" s="340">
        <v>0</v>
      </c>
      <c r="I170" s="340">
        <v>0</v>
      </c>
      <c r="J170" s="340">
        <f t="shared" si="14"/>
        <v>2204</v>
      </c>
      <c r="K170" s="340"/>
      <c r="L170" s="309"/>
    </row>
    <row r="171" spans="1:12" x14ac:dyDescent="0.25">
      <c r="A171" s="309"/>
      <c r="B171" s="309"/>
      <c r="C171" s="127"/>
      <c r="D171" s="127"/>
      <c r="E171" s="127">
        <v>19</v>
      </c>
      <c r="F171" s="339" t="s">
        <v>714</v>
      </c>
      <c r="G171" s="340">
        <v>10546.25</v>
      </c>
      <c r="H171" s="340">
        <v>0</v>
      </c>
      <c r="I171" s="340">
        <v>9832</v>
      </c>
      <c r="J171" s="340">
        <f t="shared" si="14"/>
        <v>714.25</v>
      </c>
      <c r="K171" s="340"/>
      <c r="L171" s="309"/>
    </row>
    <row r="172" spans="1:12" x14ac:dyDescent="0.25">
      <c r="A172" s="309"/>
      <c r="B172" s="309"/>
      <c r="C172" s="127"/>
      <c r="D172" s="127"/>
      <c r="E172" s="127">
        <v>20</v>
      </c>
      <c r="F172" s="339" t="s">
        <v>715</v>
      </c>
      <c r="G172" s="340">
        <v>8538.75</v>
      </c>
      <c r="H172" s="340">
        <v>0</v>
      </c>
      <c r="I172" s="340">
        <v>8539</v>
      </c>
      <c r="J172" s="340">
        <f t="shared" si="14"/>
        <v>-0.25</v>
      </c>
      <c r="K172" s="340"/>
      <c r="L172" s="309"/>
    </row>
    <row r="173" spans="1:12" x14ac:dyDescent="0.25">
      <c r="A173" s="309"/>
      <c r="B173" s="309"/>
      <c r="C173" s="127"/>
      <c r="D173" s="127"/>
      <c r="E173" s="127">
        <v>21</v>
      </c>
      <c r="F173" s="339" t="s">
        <v>716</v>
      </c>
      <c r="G173" s="340">
        <v>9999</v>
      </c>
      <c r="H173" s="340">
        <v>0</v>
      </c>
      <c r="I173" s="340">
        <v>0</v>
      </c>
      <c r="J173" s="340">
        <f t="shared" si="14"/>
        <v>9999</v>
      </c>
      <c r="K173" s="340"/>
      <c r="L173" s="309"/>
    </row>
    <row r="174" spans="1:12" x14ac:dyDescent="0.25">
      <c r="A174" s="309"/>
      <c r="B174" s="309"/>
      <c r="C174" s="127"/>
      <c r="D174" s="127"/>
      <c r="E174" s="127">
        <v>22</v>
      </c>
      <c r="F174" s="339" t="s">
        <v>717</v>
      </c>
      <c r="G174" s="340">
        <v>9980.64</v>
      </c>
      <c r="H174" s="340">
        <v>0</v>
      </c>
      <c r="I174" s="340">
        <v>0</v>
      </c>
      <c r="J174" s="340">
        <f t="shared" si="14"/>
        <v>9980.64</v>
      </c>
      <c r="K174" s="340"/>
      <c r="L174" s="309"/>
    </row>
    <row r="175" spans="1:12" x14ac:dyDescent="0.25">
      <c r="A175" s="309"/>
      <c r="B175" s="309"/>
      <c r="C175" s="127"/>
      <c r="D175" s="127"/>
      <c r="E175" s="127">
        <v>23</v>
      </c>
      <c r="F175" s="339" t="s">
        <v>718</v>
      </c>
      <c r="G175" s="340">
        <v>10500</v>
      </c>
      <c r="H175" s="340">
        <v>0</v>
      </c>
      <c r="I175" s="340">
        <v>0</v>
      </c>
      <c r="J175" s="340">
        <f t="shared" si="14"/>
        <v>10500</v>
      </c>
      <c r="K175" s="340"/>
      <c r="L175" s="309"/>
    </row>
    <row r="176" spans="1:12" x14ac:dyDescent="0.25">
      <c r="A176" s="309"/>
      <c r="B176" s="309"/>
      <c r="C176" s="127"/>
      <c r="D176" s="127"/>
      <c r="E176" s="127">
        <v>1</v>
      </c>
      <c r="F176" s="339" t="s">
        <v>676</v>
      </c>
      <c r="G176" s="340">
        <v>6920</v>
      </c>
      <c r="H176" s="340">
        <v>0</v>
      </c>
      <c r="I176" s="340">
        <v>0</v>
      </c>
      <c r="J176" s="340">
        <f t="shared" si="14"/>
        <v>6920</v>
      </c>
      <c r="K176" s="340"/>
      <c r="L176" s="309"/>
    </row>
    <row r="177" spans="1:12" x14ac:dyDescent="0.25">
      <c r="A177" s="309"/>
      <c r="B177" s="309"/>
      <c r="C177" s="127"/>
      <c r="D177" s="127"/>
      <c r="E177" s="127">
        <v>2</v>
      </c>
      <c r="F177" s="339" t="s">
        <v>677</v>
      </c>
      <c r="G177" s="340">
        <v>4111.25</v>
      </c>
      <c r="H177" s="340">
        <v>0</v>
      </c>
      <c r="I177" s="340">
        <v>0</v>
      </c>
      <c r="J177" s="340">
        <f t="shared" si="14"/>
        <v>4111.25</v>
      </c>
      <c r="K177" s="340"/>
      <c r="L177" s="309"/>
    </row>
    <row r="178" spans="1:12" x14ac:dyDescent="0.25">
      <c r="A178" s="309"/>
      <c r="B178" s="309"/>
      <c r="C178" s="127"/>
      <c r="D178" s="127"/>
      <c r="E178" s="127">
        <v>3</v>
      </c>
      <c r="F178" s="339" t="s">
        <v>678</v>
      </c>
      <c r="G178" s="340">
        <v>795</v>
      </c>
      <c r="H178" s="340">
        <v>0</v>
      </c>
      <c r="I178" s="340">
        <v>795</v>
      </c>
      <c r="J178" s="340">
        <f t="shared" si="14"/>
        <v>0</v>
      </c>
      <c r="K178" s="340"/>
      <c r="L178" s="309"/>
    </row>
    <row r="179" spans="1:12" x14ac:dyDescent="0.25">
      <c r="A179" s="309"/>
      <c r="B179" s="309"/>
      <c r="C179" s="127"/>
      <c r="D179" s="127"/>
      <c r="E179" s="127">
        <v>4</v>
      </c>
      <c r="F179" s="339" t="s">
        <v>679</v>
      </c>
      <c r="G179" s="340">
        <v>73560.63</v>
      </c>
      <c r="H179" s="340">
        <v>0</v>
      </c>
      <c r="I179" s="340">
        <v>38119</v>
      </c>
      <c r="J179" s="340">
        <f t="shared" si="14"/>
        <v>35441.630000000005</v>
      </c>
      <c r="K179" s="340"/>
      <c r="L179" s="309"/>
    </row>
    <row r="180" spans="1:12" x14ac:dyDescent="0.25">
      <c r="A180" s="309"/>
      <c r="B180" s="309"/>
      <c r="C180" s="127"/>
      <c r="D180" s="127"/>
      <c r="E180" s="127">
        <v>5</v>
      </c>
      <c r="F180" s="339" t="s">
        <v>680</v>
      </c>
      <c r="G180" s="340">
        <v>14998.99</v>
      </c>
      <c r="H180" s="340">
        <v>0</v>
      </c>
      <c r="I180" s="340">
        <v>0</v>
      </c>
      <c r="J180" s="340">
        <f t="shared" si="14"/>
        <v>14998.99</v>
      </c>
      <c r="K180" s="340"/>
      <c r="L180" s="309"/>
    </row>
    <row r="181" spans="1:12" x14ac:dyDescent="0.25">
      <c r="A181" s="309"/>
      <c r="B181" s="309"/>
      <c r="C181" s="127"/>
      <c r="D181" s="127"/>
      <c r="E181" s="127">
        <v>6</v>
      </c>
      <c r="F181" s="339" t="s">
        <v>681</v>
      </c>
      <c r="G181" s="340">
        <v>4610</v>
      </c>
      <c r="H181" s="340">
        <v>0</v>
      </c>
      <c r="I181" s="340">
        <v>0</v>
      </c>
      <c r="J181" s="340">
        <f t="shared" si="14"/>
        <v>4610</v>
      </c>
      <c r="K181" s="340"/>
      <c r="L181" s="309"/>
    </row>
    <row r="182" spans="1:12" x14ac:dyDescent="0.25">
      <c r="A182" s="309"/>
      <c r="B182" s="309"/>
      <c r="C182" s="127"/>
      <c r="D182" s="127"/>
      <c r="E182" s="127">
        <v>7</v>
      </c>
      <c r="F182" s="339" t="s">
        <v>682</v>
      </c>
      <c r="G182" s="340">
        <v>13500</v>
      </c>
      <c r="H182" s="340">
        <v>0</v>
      </c>
      <c r="I182" s="340">
        <v>0</v>
      </c>
      <c r="J182" s="340">
        <f t="shared" si="14"/>
        <v>13500</v>
      </c>
      <c r="K182" s="340"/>
      <c r="L182" s="309"/>
    </row>
    <row r="183" spans="1:12" x14ac:dyDescent="0.25">
      <c r="A183" s="309"/>
      <c r="B183" s="309"/>
      <c r="C183" s="127"/>
      <c r="D183" s="127"/>
      <c r="E183" s="127">
        <v>8</v>
      </c>
      <c r="F183" s="339" t="s">
        <v>719</v>
      </c>
      <c r="G183" s="340">
        <v>27880.6</v>
      </c>
      <c r="H183" s="340">
        <v>0</v>
      </c>
      <c r="I183" s="340">
        <v>0</v>
      </c>
      <c r="J183" s="340">
        <f t="shared" si="14"/>
        <v>27880.6</v>
      </c>
      <c r="K183" s="340"/>
      <c r="L183" s="309"/>
    </row>
    <row r="184" spans="1:12" x14ac:dyDescent="0.25">
      <c r="A184" s="309"/>
      <c r="B184" s="309"/>
      <c r="C184" s="127"/>
      <c r="D184" s="127"/>
      <c r="E184" s="127">
        <v>9</v>
      </c>
      <c r="F184" s="339" t="s">
        <v>720</v>
      </c>
      <c r="G184" s="340">
        <v>29550</v>
      </c>
      <c r="H184" s="340">
        <v>0</v>
      </c>
      <c r="I184" s="340">
        <v>0</v>
      </c>
      <c r="J184" s="340">
        <f t="shared" si="14"/>
        <v>29550</v>
      </c>
      <c r="K184" s="340"/>
      <c r="L184" s="309"/>
    </row>
    <row r="185" spans="1:12" x14ac:dyDescent="0.25">
      <c r="A185" s="309"/>
      <c r="B185" s="309"/>
      <c r="C185" s="127"/>
      <c r="D185" s="127"/>
      <c r="E185" s="127">
        <v>10</v>
      </c>
      <c r="F185" s="339" t="s">
        <v>721</v>
      </c>
      <c r="G185" s="340">
        <v>4950</v>
      </c>
      <c r="H185" s="340">
        <v>0</v>
      </c>
      <c r="I185" s="340">
        <v>4950</v>
      </c>
      <c r="J185" s="340">
        <f t="shared" si="14"/>
        <v>0</v>
      </c>
      <c r="K185" s="340">
        <f>SUM(J176:J185)</f>
        <v>137012.47</v>
      </c>
      <c r="L185" s="309"/>
    </row>
    <row r="186" spans="1:12" x14ac:dyDescent="0.25">
      <c r="A186" s="309"/>
      <c r="B186" s="309"/>
      <c r="C186" s="127"/>
      <c r="D186" s="127"/>
      <c r="E186" s="127">
        <v>1</v>
      </c>
      <c r="F186" s="339" t="s">
        <v>683</v>
      </c>
      <c r="G186" s="340">
        <v>17049.39</v>
      </c>
      <c r="H186" s="340">
        <v>0</v>
      </c>
      <c r="I186" s="340">
        <v>4435.5</v>
      </c>
      <c r="J186" s="340">
        <f t="shared" si="14"/>
        <v>12613.89</v>
      </c>
      <c r="K186" s="340"/>
      <c r="L186" s="309"/>
    </row>
    <row r="187" spans="1:12" x14ac:dyDescent="0.25">
      <c r="A187" s="309"/>
      <c r="B187" s="309"/>
      <c r="C187" s="127"/>
      <c r="D187" s="127"/>
      <c r="E187" s="127">
        <v>2</v>
      </c>
      <c r="F187" s="339" t="s">
        <v>684</v>
      </c>
      <c r="G187" s="340">
        <v>37049.9</v>
      </c>
      <c r="H187" s="340">
        <v>0</v>
      </c>
      <c r="I187" s="340">
        <v>1859</v>
      </c>
      <c r="J187" s="340">
        <f t="shared" si="14"/>
        <v>35190.9</v>
      </c>
      <c r="K187" s="340"/>
      <c r="L187" s="309"/>
    </row>
    <row r="188" spans="1:12" x14ac:dyDescent="0.25">
      <c r="A188" s="309"/>
      <c r="B188" s="309"/>
      <c r="C188" s="127"/>
      <c r="D188" s="127"/>
      <c r="E188" s="127">
        <v>3</v>
      </c>
      <c r="F188" s="339" t="s">
        <v>685</v>
      </c>
      <c r="G188" s="340">
        <v>24137</v>
      </c>
      <c r="H188" s="340">
        <v>0</v>
      </c>
      <c r="I188" s="340">
        <v>24137</v>
      </c>
      <c r="J188" s="340">
        <f t="shared" si="14"/>
        <v>0</v>
      </c>
      <c r="K188" s="340"/>
      <c r="L188" s="309"/>
    </row>
    <row r="189" spans="1:12" x14ac:dyDescent="0.25">
      <c r="A189" s="309"/>
      <c r="B189" s="309"/>
      <c r="C189" s="127"/>
      <c r="D189" s="127"/>
      <c r="E189" s="127">
        <v>4</v>
      </c>
      <c r="F189" s="339" t="s">
        <v>686</v>
      </c>
      <c r="G189" s="340">
        <v>12548</v>
      </c>
      <c r="H189" s="340">
        <v>0</v>
      </c>
      <c r="I189" s="340">
        <v>0</v>
      </c>
      <c r="J189" s="340">
        <f t="shared" si="14"/>
        <v>12548</v>
      </c>
      <c r="K189" s="340"/>
      <c r="L189" s="309"/>
    </row>
    <row r="190" spans="1:12" x14ac:dyDescent="0.25">
      <c r="A190" s="309"/>
      <c r="B190" s="309"/>
      <c r="C190" s="127"/>
      <c r="D190" s="127"/>
      <c r="E190" s="127">
        <v>5</v>
      </c>
      <c r="F190" s="339" t="s">
        <v>687</v>
      </c>
      <c r="G190" s="340">
        <v>4400</v>
      </c>
      <c r="H190" s="340">
        <v>0</v>
      </c>
      <c r="I190" s="340">
        <v>0</v>
      </c>
      <c r="J190" s="340">
        <f t="shared" si="14"/>
        <v>4400</v>
      </c>
      <c r="K190" s="340"/>
      <c r="L190" s="309"/>
    </row>
    <row r="191" spans="1:12" x14ac:dyDescent="0.25">
      <c r="A191" s="309"/>
      <c r="B191" s="309"/>
      <c r="C191" s="127"/>
      <c r="D191" s="127"/>
      <c r="E191" s="127">
        <v>6</v>
      </c>
      <c r="F191" s="339" t="s">
        <v>688</v>
      </c>
      <c r="G191" s="340">
        <v>1836</v>
      </c>
      <c r="H191" s="340">
        <v>0</v>
      </c>
      <c r="I191" s="340">
        <v>0</v>
      </c>
      <c r="J191" s="340">
        <f t="shared" si="14"/>
        <v>1836</v>
      </c>
      <c r="K191" s="340"/>
      <c r="L191" s="309"/>
    </row>
    <row r="192" spans="1:12" x14ac:dyDescent="0.25">
      <c r="A192" s="309"/>
      <c r="B192" s="309"/>
      <c r="C192" s="127"/>
      <c r="D192" s="127"/>
      <c r="E192" s="127">
        <v>7</v>
      </c>
      <c r="F192" s="339" t="s">
        <v>689</v>
      </c>
      <c r="G192" s="340">
        <v>435</v>
      </c>
      <c r="H192" s="340">
        <v>0</v>
      </c>
      <c r="I192" s="340">
        <v>0</v>
      </c>
      <c r="J192" s="340">
        <f t="shared" si="14"/>
        <v>435</v>
      </c>
      <c r="K192" s="340"/>
      <c r="L192" s="309"/>
    </row>
    <row r="193" spans="1:12" x14ac:dyDescent="0.25">
      <c r="A193" s="309"/>
      <c r="B193" s="309"/>
      <c r="C193" s="127"/>
      <c r="D193" s="127"/>
      <c r="E193" s="127">
        <v>8</v>
      </c>
      <c r="F193" s="339" t="s">
        <v>690</v>
      </c>
      <c r="G193" s="340">
        <v>300</v>
      </c>
      <c r="H193" s="340">
        <v>0</v>
      </c>
      <c r="I193" s="340">
        <v>0</v>
      </c>
      <c r="J193" s="340">
        <f t="shared" si="14"/>
        <v>300</v>
      </c>
      <c r="K193" s="340"/>
      <c r="L193" s="309"/>
    </row>
    <row r="194" spans="1:12" x14ac:dyDescent="0.25">
      <c r="A194" s="309"/>
      <c r="B194" s="309"/>
      <c r="C194" s="127"/>
      <c r="D194" s="127"/>
      <c r="E194" s="127">
        <v>9</v>
      </c>
      <c r="F194" s="339" t="s">
        <v>691</v>
      </c>
      <c r="G194" s="340">
        <v>8625</v>
      </c>
      <c r="H194" s="340">
        <v>0</v>
      </c>
      <c r="I194" s="340">
        <v>0</v>
      </c>
      <c r="J194" s="340">
        <f t="shared" si="14"/>
        <v>8625</v>
      </c>
      <c r="K194" s="340"/>
      <c r="L194" s="309"/>
    </row>
    <row r="195" spans="1:12" x14ac:dyDescent="0.25">
      <c r="A195" s="309"/>
      <c r="B195" s="309"/>
      <c r="C195" s="127"/>
      <c r="D195" s="127"/>
      <c r="E195" s="127">
        <v>10</v>
      </c>
      <c r="F195" s="339" t="s">
        <v>692</v>
      </c>
      <c r="G195" s="340">
        <v>1198</v>
      </c>
      <c r="H195" s="340">
        <v>0</v>
      </c>
      <c r="I195" s="340">
        <v>0</v>
      </c>
      <c r="J195" s="340">
        <f t="shared" si="14"/>
        <v>1198</v>
      </c>
      <c r="K195" s="340"/>
      <c r="L195" s="309"/>
    </row>
    <row r="196" spans="1:12" x14ac:dyDescent="0.25">
      <c r="A196" s="309"/>
      <c r="B196" s="309"/>
      <c r="C196" s="127"/>
      <c r="D196" s="127"/>
      <c r="E196" s="127">
        <v>11</v>
      </c>
      <c r="F196" s="339" t="s">
        <v>693</v>
      </c>
      <c r="G196" s="340">
        <v>189</v>
      </c>
      <c r="H196" s="340">
        <v>0</v>
      </c>
      <c r="I196" s="340">
        <v>0</v>
      </c>
      <c r="J196" s="340">
        <f t="shared" si="14"/>
        <v>189</v>
      </c>
      <c r="K196" s="340"/>
      <c r="L196" s="309"/>
    </row>
    <row r="197" spans="1:12" x14ac:dyDescent="0.25">
      <c r="A197" s="309"/>
      <c r="B197" s="309"/>
      <c r="C197" s="127"/>
      <c r="D197" s="127"/>
      <c r="E197" s="127">
        <v>12</v>
      </c>
      <c r="F197" s="339" t="s">
        <v>694</v>
      </c>
      <c r="G197" s="340">
        <v>315</v>
      </c>
      <c r="H197" s="340">
        <v>0</v>
      </c>
      <c r="I197" s="340">
        <v>0</v>
      </c>
      <c r="J197" s="340">
        <f t="shared" si="14"/>
        <v>315</v>
      </c>
      <c r="K197" s="340"/>
      <c r="L197" s="309"/>
    </row>
    <row r="198" spans="1:12" x14ac:dyDescent="0.25">
      <c r="A198" s="309"/>
      <c r="B198" s="309"/>
      <c r="C198" s="127"/>
      <c r="D198" s="127"/>
      <c r="E198" s="127">
        <v>13</v>
      </c>
      <c r="F198" s="339" t="s">
        <v>695</v>
      </c>
      <c r="G198" s="340">
        <v>2304.06</v>
      </c>
      <c r="H198" s="340">
        <v>0</v>
      </c>
      <c r="I198" s="340">
        <v>699</v>
      </c>
      <c r="J198" s="340">
        <f t="shared" si="14"/>
        <v>1605.06</v>
      </c>
      <c r="K198" s="340"/>
      <c r="L198" s="309"/>
    </row>
    <row r="199" spans="1:12" x14ac:dyDescent="0.25">
      <c r="A199" s="309"/>
      <c r="B199" s="309"/>
      <c r="C199" s="127"/>
      <c r="D199" s="127"/>
      <c r="E199" s="127">
        <v>14</v>
      </c>
      <c r="F199" s="339" t="s">
        <v>696</v>
      </c>
      <c r="G199" s="340">
        <v>12382</v>
      </c>
      <c r="H199" s="340">
        <v>0</v>
      </c>
      <c r="I199" s="340">
        <v>0</v>
      </c>
      <c r="J199" s="340">
        <f t="shared" si="14"/>
        <v>12382</v>
      </c>
      <c r="K199" s="340"/>
      <c r="L199" s="309"/>
    </row>
    <row r="200" spans="1:12" x14ac:dyDescent="0.25">
      <c r="A200" s="309"/>
      <c r="B200" s="309"/>
      <c r="C200" s="127"/>
      <c r="D200" s="127"/>
      <c r="E200" s="127">
        <v>15</v>
      </c>
      <c r="F200" s="339" t="s">
        <v>697</v>
      </c>
      <c r="G200" s="340">
        <v>4680.01</v>
      </c>
      <c r="H200" s="340">
        <v>0</v>
      </c>
      <c r="I200" s="340">
        <v>0</v>
      </c>
      <c r="J200" s="340">
        <f t="shared" si="14"/>
        <v>4680.01</v>
      </c>
      <c r="K200" s="340"/>
      <c r="L200" s="309"/>
    </row>
    <row r="201" spans="1:12" x14ac:dyDescent="0.25">
      <c r="A201" s="309"/>
      <c r="B201" s="309"/>
      <c r="C201" s="127"/>
      <c r="D201" s="127"/>
      <c r="E201" s="127">
        <v>16</v>
      </c>
      <c r="F201" s="339" t="s">
        <v>698</v>
      </c>
      <c r="G201" s="340">
        <v>629</v>
      </c>
      <c r="H201" s="340">
        <v>0</v>
      </c>
      <c r="I201" s="340">
        <v>0</v>
      </c>
      <c r="J201" s="340">
        <f t="shared" si="14"/>
        <v>629</v>
      </c>
      <c r="K201" s="340"/>
      <c r="L201" s="309"/>
    </row>
    <row r="202" spans="1:12" x14ac:dyDescent="0.25">
      <c r="A202" s="309"/>
      <c r="B202" s="309"/>
      <c r="C202" s="127"/>
      <c r="D202" s="127"/>
      <c r="E202" s="127">
        <v>17</v>
      </c>
      <c r="F202" s="339" t="s">
        <v>699</v>
      </c>
      <c r="G202" s="340">
        <v>2334.4</v>
      </c>
      <c r="H202" s="340">
        <v>0</v>
      </c>
      <c r="I202" s="340">
        <v>0</v>
      </c>
      <c r="J202" s="340">
        <f t="shared" si="14"/>
        <v>2334.4</v>
      </c>
      <c r="K202" s="340"/>
      <c r="L202" s="309"/>
    </row>
    <row r="203" spans="1:12" x14ac:dyDescent="0.25">
      <c r="A203" s="309"/>
      <c r="B203" s="309"/>
      <c r="C203" s="127"/>
      <c r="D203" s="127"/>
      <c r="E203" s="127">
        <v>18</v>
      </c>
      <c r="F203" s="339" t="s">
        <v>700</v>
      </c>
      <c r="G203" s="340">
        <v>2900</v>
      </c>
      <c r="H203" s="340">
        <v>0</v>
      </c>
      <c r="I203" s="340">
        <v>0</v>
      </c>
      <c r="J203" s="340">
        <f t="shared" si="14"/>
        <v>2900</v>
      </c>
      <c r="K203" s="340"/>
      <c r="L203" s="309"/>
    </row>
    <row r="204" spans="1:12" x14ac:dyDescent="0.25">
      <c r="A204" s="309"/>
      <c r="B204" s="309"/>
      <c r="C204" s="127"/>
      <c r="D204" s="127"/>
      <c r="E204" s="127">
        <v>19</v>
      </c>
      <c r="F204" s="339" t="s">
        <v>709</v>
      </c>
      <c r="G204" s="340">
        <v>4640</v>
      </c>
      <c r="H204" s="340">
        <v>0</v>
      </c>
      <c r="I204" s="340">
        <v>0</v>
      </c>
      <c r="J204" s="340">
        <f t="shared" si="14"/>
        <v>4640</v>
      </c>
      <c r="K204" s="340"/>
      <c r="L204" s="309"/>
    </row>
    <row r="205" spans="1:12" x14ac:dyDescent="0.25">
      <c r="A205" s="309"/>
      <c r="B205" s="309"/>
      <c r="C205" s="127"/>
      <c r="D205" s="127"/>
      <c r="E205" s="127">
        <v>20</v>
      </c>
      <c r="F205" s="339" t="s">
        <v>710</v>
      </c>
      <c r="G205" s="340">
        <v>0</v>
      </c>
      <c r="H205" s="340">
        <v>0</v>
      </c>
      <c r="I205" s="340">
        <v>0</v>
      </c>
      <c r="J205" s="340">
        <f t="shared" si="14"/>
        <v>0</v>
      </c>
      <c r="K205" s="340"/>
      <c r="L205" s="309"/>
    </row>
    <row r="206" spans="1:12" x14ac:dyDescent="0.25">
      <c r="A206" s="309"/>
      <c r="B206" s="309"/>
      <c r="C206" s="127"/>
      <c r="D206" s="127"/>
      <c r="E206" s="127">
        <v>21</v>
      </c>
      <c r="F206" s="339" t="s">
        <v>711</v>
      </c>
      <c r="G206" s="340">
        <v>9499.99</v>
      </c>
      <c r="H206" s="340">
        <v>0</v>
      </c>
      <c r="I206" s="340">
        <v>0</v>
      </c>
      <c r="J206" s="340">
        <f t="shared" si="14"/>
        <v>9499.99</v>
      </c>
      <c r="K206" s="340"/>
      <c r="L206" s="309"/>
    </row>
    <row r="207" spans="1:12" x14ac:dyDescent="0.25">
      <c r="A207" s="309"/>
      <c r="B207" s="309"/>
      <c r="C207" s="127"/>
      <c r="D207" s="127"/>
      <c r="E207" s="127">
        <v>22</v>
      </c>
      <c r="F207" s="339" t="s">
        <v>712</v>
      </c>
      <c r="G207" s="340">
        <v>0</v>
      </c>
      <c r="H207" s="340">
        <v>0</v>
      </c>
      <c r="I207" s="340">
        <v>0</v>
      </c>
      <c r="J207" s="340">
        <f t="shared" si="14"/>
        <v>0</v>
      </c>
      <c r="K207" s="340"/>
      <c r="L207" s="309"/>
    </row>
    <row r="208" spans="1:12" x14ac:dyDescent="0.25">
      <c r="A208" s="309"/>
      <c r="B208" s="309"/>
      <c r="C208" s="127"/>
      <c r="D208" s="127"/>
      <c r="E208" s="127">
        <v>23</v>
      </c>
      <c r="F208" s="339" t="s">
        <v>713</v>
      </c>
      <c r="G208" s="340">
        <v>2900</v>
      </c>
      <c r="H208" s="340">
        <v>0</v>
      </c>
      <c r="I208" s="340">
        <v>0</v>
      </c>
      <c r="J208" s="340">
        <f t="shared" si="14"/>
        <v>2900</v>
      </c>
      <c r="K208" s="340"/>
      <c r="L208" s="309"/>
    </row>
    <row r="209" spans="1:12" x14ac:dyDescent="0.25">
      <c r="A209" s="338">
        <v>1</v>
      </c>
      <c r="B209" s="338">
        <v>2</v>
      </c>
      <c r="C209" s="127">
        <v>4</v>
      </c>
      <c r="D209" s="127">
        <v>7</v>
      </c>
      <c r="E209" s="127"/>
      <c r="F209" s="127" t="s">
        <v>300</v>
      </c>
      <c r="G209" s="127"/>
      <c r="H209" s="127"/>
      <c r="I209" s="127"/>
      <c r="J209" s="127"/>
      <c r="K209" s="127"/>
      <c r="L209" s="309"/>
    </row>
    <row r="210" spans="1:12" x14ac:dyDescent="0.25">
      <c r="A210" s="338">
        <v>1</v>
      </c>
      <c r="B210" s="338">
        <v>2</v>
      </c>
      <c r="C210" s="127">
        <v>4</v>
      </c>
      <c r="D210" s="127">
        <v>8</v>
      </c>
      <c r="E210" s="127"/>
      <c r="F210" s="127" t="s">
        <v>301</v>
      </c>
      <c r="G210" s="127"/>
      <c r="H210" s="127"/>
      <c r="I210" s="127"/>
      <c r="J210" s="127"/>
      <c r="K210" s="127"/>
      <c r="L210" s="309"/>
    </row>
    <row r="211" spans="1:12" x14ac:dyDescent="0.25">
      <c r="A211" s="338">
        <v>1</v>
      </c>
      <c r="B211" s="338">
        <v>2</v>
      </c>
      <c r="C211" s="127">
        <v>5</v>
      </c>
      <c r="D211" s="127"/>
      <c r="E211" s="127"/>
      <c r="F211" s="127" t="s">
        <v>126</v>
      </c>
      <c r="G211" s="140">
        <f>+G212+G218+G219+G220+G221</f>
        <v>30711.08</v>
      </c>
      <c r="H211" s="140">
        <f t="shared" ref="H211:J211" si="15">+H212+H218+H219+H220+H221</f>
        <v>0</v>
      </c>
      <c r="I211" s="140">
        <f t="shared" si="15"/>
        <v>0</v>
      </c>
      <c r="J211" s="140">
        <f t="shared" si="15"/>
        <v>30711.08</v>
      </c>
      <c r="K211" s="140"/>
      <c r="L211" s="309"/>
    </row>
    <row r="212" spans="1:12" x14ac:dyDescent="0.25">
      <c r="A212" s="338">
        <v>1</v>
      </c>
      <c r="B212" s="338">
        <v>2</v>
      </c>
      <c r="C212" s="127">
        <v>5</v>
      </c>
      <c r="D212" s="127">
        <v>1</v>
      </c>
      <c r="E212" s="127"/>
      <c r="F212" s="127" t="s">
        <v>302</v>
      </c>
      <c r="G212" s="466">
        <f t="shared" ref="G212:I212" si="16">SUM(G213:G217)</f>
        <v>30711.08</v>
      </c>
      <c r="H212" s="466">
        <f t="shared" si="16"/>
        <v>0</v>
      </c>
      <c r="I212" s="466">
        <f t="shared" si="16"/>
        <v>0</v>
      </c>
      <c r="J212" s="466">
        <f>SUM(J213:J217)</f>
        <v>30711.08</v>
      </c>
      <c r="K212" s="466"/>
      <c r="L212" s="309"/>
    </row>
    <row r="213" spans="1:12" x14ac:dyDescent="0.25">
      <c r="A213" s="338"/>
      <c r="B213" s="338"/>
      <c r="C213" s="127"/>
      <c r="D213" s="127"/>
      <c r="E213" s="127">
        <v>1</v>
      </c>
      <c r="F213" s="339" t="s">
        <v>701</v>
      </c>
      <c r="G213" s="340">
        <v>4988</v>
      </c>
      <c r="H213" s="340">
        <v>0</v>
      </c>
      <c r="I213" s="340">
        <v>0</v>
      </c>
      <c r="J213" s="340">
        <f t="shared" ref="J213:J217" si="17">+G213+H213-I213</f>
        <v>4988</v>
      </c>
      <c r="K213" s="340"/>
      <c r="L213" s="309"/>
    </row>
    <row r="214" spans="1:12" x14ac:dyDescent="0.25">
      <c r="A214" s="338"/>
      <c r="B214" s="338"/>
      <c r="C214" s="127"/>
      <c r="D214" s="127"/>
      <c r="E214" s="127">
        <v>2</v>
      </c>
      <c r="F214" s="339" t="s">
        <v>702</v>
      </c>
      <c r="G214" s="340">
        <v>1199</v>
      </c>
      <c r="H214" s="340">
        <v>0</v>
      </c>
      <c r="I214" s="340">
        <v>0</v>
      </c>
      <c r="J214" s="340">
        <f t="shared" si="17"/>
        <v>1199</v>
      </c>
      <c r="K214" s="340"/>
      <c r="L214" s="309"/>
    </row>
    <row r="215" spans="1:12" x14ac:dyDescent="0.25">
      <c r="A215" s="338"/>
      <c r="B215" s="338"/>
      <c r="C215" s="127"/>
      <c r="D215" s="127"/>
      <c r="E215" s="127">
        <v>3</v>
      </c>
      <c r="F215" s="339" t="s">
        <v>703</v>
      </c>
      <c r="G215" s="340">
        <v>1500</v>
      </c>
      <c r="H215" s="340">
        <v>0</v>
      </c>
      <c r="I215" s="340">
        <v>0</v>
      </c>
      <c r="J215" s="340">
        <f t="shared" si="17"/>
        <v>1500</v>
      </c>
      <c r="K215" s="340"/>
      <c r="L215" s="309"/>
    </row>
    <row r="216" spans="1:12" x14ac:dyDescent="0.25">
      <c r="A216" s="338"/>
      <c r="B216" s="338"/>
      <c r="C216" s="127"/>
      <c r="D216" s="127"/>
      <c r="E216" s="127">
        <v>4</v>
      </c>
      <c r="F216" s="339" t="s">
        <v>704</v>
      </c>
      <c r="G216" s="340">
        <v>17963</v>
      </c>
      <c r="H216" s="340">
        <v>0</v>
      </c>
      <c r="I216" s="340">
        <v>0</v>
      </c>
      <c r="J216" s="340">
        <f t="shared" si="17"/>
        <v>17963</v>
      </c>
      <c r="K216" s="340"/>
      <c r="L216" s="309"/>
    </row>
    <row r="217" spans="1:12" x14ac:dyDescent="0.25">
      <c r="A217" s="338"/>
      <c r="B217" s="338"/>
      <c r="C217" s="127"/>
      <c r="D217" s="127"/>
      <c r="E217" s="127">
        <v>5</v>
      </c>
      <c r="F217" s="339" t="s">
        <v>722</v>
      </c>
      <c r="G217" s="340">
        <v>5061.08</v>
      </c>
      <c r="H217" s="340">
        <v>0</v>
      </c>
      <c r="I217" s="340">
        <v>0</v>
      </c>
      <c r="J217" s="340">
        <f t="shared" si="17"/>
        <v>5061.08</v>
      </c>
      <c r="K217" s="340"/>
      <c r="L217" s="309"/>
    </row>
    <row r="218" spans="1:12" hidden="1" x14ac:dyDescent="0.25">
      <c r="A218" s="338">
        <v>1</v>
      </c>
      <c r="B218" s="338">
        <v>2</v>
      </c>
      <c r="C218" s="127">
        <v>5</v>
      </c>
      <c r="D218" s="127">
        <v>2</v>
      </c>
      <c r="E218" s="127"/>
      <c r="F218" s="127" t="s">
        <v>303</v>
      </c>
      <c r="G218" s="127"/>
      <c r="H218" s="127"/>
      <c r="I218" s="127"/>
      <c r="J218" s="127"/>
      <c r="K218" s="127"/>
      <c r="L218" s="309"/>
    </row>
    <row r="219" spans="1:12" hidden="1" x14ac:dyDescent="0.25">
      <c r="A219" s="338">
        <v>1</v>
      </c>
      <c r="B219" s="338">
        <v>2</v>
      </c>
      <c r="C219" s="127">
        <v>5</v>
      </c>
      <c r="D219" s="127">
        <v>3</v>
      </c>
      <c r="E219" s="127"/>
      <c r="F219" s="127" t="s">
        <v>304</v>
      </c>
      <c r="G219" s="127"/>
      <c r="H219" s="127"/>
      <c r="I219" s="127"/>
      <c r="J219" s="127"/>
      <c r="K219" s="127"/>
      <c r="L219" s="309"/>
    </row>
    <row r="220" spans="1:12" hidden="1" x14ac:dyDescent="0.25">
      <c r="A220" s="338">
        <v>1</v>
      </c>
      <c r="B220" s="338">
        <v>2</v>
      </c>
      <c r="C220" s="127">
        <v>5</v>
      </c>
      <c r="D220" s="127">
        <v>4</v>
      </c>
      <c r="E220" s="127"/>
      <c r="F220" s="127" t="s">
        <v>305</v>
      </c>
      <c r="G220" s="127"/>
      <c r="H220" s="127"/>
      <c r="I220" s="127"/>
      <c r="J220" s="133"/>
      <c r="K220" s="133"/>
      <c r="L220" s="309"/>
    </row>
    <row r="221" spans="1:12" hidden="1" x14ac:dyDescent="0.25">
      <c r="A221" s="338">
        <v>1</v>
      </c>
      <c r="B221" s="338">
        <v>2</v>
      </c>
      <c r="C221" s="127">
        <v>5</v>
      </c>
      <c r="D221" s="127">
        <v>9</v>
      </c>
      <c r="E221" s="127"/>
      <c r="F221" s="127" t="s">
        <v>306</v>
      </c>
      <c r="G221" s="127"/>
      <c r="H221" s="127"/>
      <c r="I221" s="127"/>
      <c r="J221" s="133"/>
      <c r="K221" s="133"/>
      <c r="L221" s="309"/>
    </row>
    <row r="222" spans="1:12" ht="24" hidden="1" x14ac:dyDescent="0.25">
      <c r="A222" s="342">
        <v>1</v>
      </c>
      <c r="B222" s="342">
        <v>2</v>
      </c>
      <c r="C222" s="127">
        <v>6</v>
      </c>
      <c r="D222" s="127"/>
      <c r="E222" s="127"/>
      <c r="F222" s="127" t="s">
        <v>128</v>
      </c>
      <c r="G222" s="127"/>
      <c r="H222" s="127"/>
      <c r="I222" s="127"/>
      <c r="J222" s="127"/>
      <c r="K222" s="127"/>
      <c r="L222" s="309"/>
    </row>
    <row r="223" spans="1:12" hidden="1" x14ac:dyDescent="0.25">
      <c r="A223" s="338">
        <v>1</v>
      </c>
      <c r="B223" s="338">
        <v>2</v>
      </c>
      <c r="C223" s="127">
        <v>6</v>
      </c>
      <c r="D223" s="127">
        <v>1</v>
      </c>
      <c r="E223" s="127"/>
      <c r="F223" s="127" t="s">
        <v>307</v>
      </c>
      <c r="G223" s="127"/>
      <c r="H223" s="127"/>
      <c r="I223" s="127"/>
      <c r="J223" s="127"/>
      <c r="K223" s="127"/>
      <c r="L223" s="309"/>
    </row>
    <row r="224" spans="1:12" hidden="1" x14ac:dyDescent="0.25">
      <c r="A224" s="338">
        <v>1</v>
      </c>
      <c r="B224" s="338">
        <v>2</v>
      </c>
      <c r="C224" s="127">
        <v>6</v>
      </c>
      <c r="D224" s="127">
        <v>2</v>
      </c>
      <c r="E224" s="127"/>
      <c r="F224" s="127" t="s">
        <v>308</v>
      </c>
      <c r="G224" s="127"/>
      <c r="H224" s="127"/>
      <c r="I224" s="127"/>
      <c r="J224" s="127"/>
      <c r="K224" s="127"/>
      <c r="L224" s="309"/>
    </row>
    <row r="225" spans="1:12" hidden="1" x14ac:dyDescent="0.25">
      <c r="A225" s="338">
        <v>1</v>
      </c>
      <c r="B225" s="338">
        <v>2</v>
      </c>
      <c r="C225" s="127">
        <v>6</v>
      </c>
      <c r="D225" s="127">
        <v>3</v>
      </c>
      <c r="E225" s="127"/>
      <c r="F225" s="127" t="s">
        <v>309</v>
      </c>
      <c r="G225" s="127"/>
      <c r="H225" s="127"/>
      <c r="I225" s="127"/>
      <c r="J225" s="127"/>
      <c r="K225" s="127"/>
      <c r="L225" s="309"/>
    </row>
    <row r="226" spans="1:12" hidden="1" x14ac:dyDescent="0.25">
      <c r="A226" s="338">
        <v>1</v>
      </c>
      <c r="B226" s="338">
        <v>2</v>
      </c>
      <c r="C226" s="127">
        <v>6</v>
      </c>
      <c r="D226" s="127">
        <v>4</v>
      </c>
      <c r="E226" s="127"/>
      <c r="F226" s="127" t="s">
        <v>310</v>
      </c>
      <c r="G226" s="127"/>
      <c r="H226" s="127"/>
      <c r="I226" s="127"/>
      <c r="J226" s="127"/>
      <c r="K226" s="127"/>
      <c r="L226" s="309"/>
    </row>
    <row r="227" spans="1:12" hidden="1" x14ac:dyDescent="0.25">
      <c r="A227" s="127">
        <v>1</v>
      </c>
      <c r="B227" s="127">
        <v>2</v>
      </c>
      <c r="C227" s="127">
        <v>6</v>
      </c>
      <c r="D227" s="127">
        <v>5</v>
      </c>
      <c r="E227" s="127"/>
      <c r="F227" s="127" t="s">
        <v>311</v>
      </c>
      <c r="G227" s="127"/>
      <c r="H227" s="127"/>
      <c r="I227" s="127"/>
      <c r="J227" s="129"/>
      <c r="K227" s="129"/>
      <c r="L227" s="309"/>
    </row>
    <row r="228" spans="1:12" x14ac:dyDescent="0.25">
      <c r="A228" s="127">
        <v>1</v>
      </c>
      <c r="B228" s="127">
        <v>2</v>
      </c>
      <c r="C228" s="127">
        <v>7</v>
      </c>
      <c r="D228" s="127"/>
      <c r="E228" s="127"/>
      <c r="F228" s="128" t="s">
        <v>130</v>
      </c>
      <c r="G228" s="141">
        <f>SUM(G229:G234)</f>
        <v>15000</v>
      </c>
      <c r="H228" s="141">
        <f t="shared" ref="H228:J228" si="18">SUM(H229:H234)</f>
        <v>0</v>
      </c>
      <c r="I228" s="141">
        <f t="shared" si="18"/>
        <v>0</v>
      </c>
      <c r="J228" s="141">
        <f t="shared" si="18"/>
        <v>15000</v>
      </c>
      <c r="K228" s="141"/>
      <c r="L228" s="309"/>
    </row>
    <row r="229" spans="1:12" x14ac:dyDescent="0.25">
      <c r="A229" s="127">
        <v>1</v>
      </c>
      <c r="B229" s="127">
        <v>2</v>
      </c>
      <c r="C229" s="127">
        <v>7</v>
      </c>
      <c r="D229" s="127">
        <v>1</v>
      </c>
      <c r="E229" s="127"/>
      <c r="F229" s="127" t="s">
        <v>312</v>
      </c>
      <c r="G229" s="127"/>
      <c r="H229" s="127"/>
      <c r="I229" s="127"/>
      <c r="J229" s="129"/>
      <c r="K229" s="129"/>
      <c r="L229" s="309"/>
    </row>
    <row r="230" spans="1:12" ht="24" hidden="1" x14ac:dyDescent="0.25">
      <c r="A230" s="127">
        <v>1</v>
      </c>
      <c r="B230" s="127">
        <v>2</v>
      </c>
      <c r="C230" s="127">
        <v>7</v>
      </c>
      <c r="D230" s="127">
        <v>2</v>
      </c>
      <c r="E230" s="127"/>
      <c r="F230" s="127" t="s">
        <v>313</v>
      </c>
      <c r="G230" s="127"/>
      <c r="H230" s="127"/>
      <c r="I230" s="127"/>
      <c r="J230" s="129"/>
      <c r="K230" s="129"/>
      <c r="L230" s="309"/>
    </row>
    <row r="231" spans="1:12" hidden="1" x14ac:dyDescent="0.25">
      <c r="A231" s="127">
        <v>1</v>
      </c>
      <c r="B231" s="127">
        <v>2</v>
      </c>
      <c r="C231" s="127">
        <v>7</v>
      </c>
      <c r="D231" s="127">
        <v>3</v>
      </c>
      <c r="E231" s="127"/>
      <c r="F231" s="127" t="s">
        <v>314</v>
      </c>
      <c r="G231" s="127"/>
      <c r="H231" s="127"/>
      <c r="I231" s="127"/>
      <c r="J231" s="129"/>
      <c r="K231" s="129"/>
      <c r="L231" s="309"/>
    </row>
    <row r="232" spans="1:12" hidden="1" x14ac:dyDescent="0.25">
      <c r="A232" s="127">
        <v>1</v>
      </c>
      <c r="B232" s="127">
        <v>2</v>
      </c>
      <c r="C232" s="127">
        <v>7</v>
      </c>
      <c r="D232" s="127">
        <v>4</v>
      </c>
      <c r="E232" s="127"/>
      <c r="F232" s="127" t="s">
        <v>315</v>
      </c>
      <c r="G232" s="127"/>
      <c r="H232" s="127"/>
      <c r="I232" s="127"/>
      <c r="J232" s="129"/>
      <c r="K232" s="129"/>
      <c r="L232" s="309"/>
    </row>
    <row r="233" spans="1:12" ht="24" hidden="1" x14ac:dyDescent="0.25">
      <c r="A233" s="127">
        <v>1</v>
      </c>
      <c r="B233" s="127">
        <v>2</v>
      </c>
      <c r="C233" s="127">
        <v>7</v>
      </c>
      <c r="D233" s="127">
        <v>5</v>
      </c>
      <c r="E233" s="127"/>
      <c r="F233" s="127" t="s">
        <v>316</v>
      </c>
      <c r="G233" s="127"/>
      <c r="H233" s="127"/>
      <c r="I233" s="127"/>
      <c r="J233" s="129"/>
      <c r="K233" s="129"/>
      <c r="L233" s="309"/>
    </row>
    <row r="234" spans="1:12" x14ac:dyDescent="0.25">
      <c r="A234" s="127">
        <v>1</v>
      </c>
      <c r="B234" s="127">
        <v>2</v>
      </c>
      <c r="C234" s="127">
        <v>7</v>
      </c>
      <c r="D234" s="127">
        <v>9</v>
      </c>
      <c r="E234" s="127"/>
      <c r="F234" s="127" t="s">
        <v>317</v>
      </c>
      <c r="G234" s="134">
        <f t="shared" ref="G234:I234" si="19">+G235</f>
        <v>15000</v>
      </c>
      <c r="H234" s="134">
        <f t="shared" si="19"/>
        <v>0</v>
      </c>
      <c r="I234" s="134">
        <f t="shared" si="19"/>
        <v>0</v>
      </c>
      <c r="J234" s="134">
        <f>+J235</f>
        <v>15000</v>
      </c>
      <c r="K234" s="134"/>
      <c r="L234" s="309"/>
    </row>
    <row r="235" spans="1:12" x14ac:dyDescent="0.25">
      <c r="A235" s="127"/>
      <c r="B235" s="127"/>
      <c r="C235" s="127"/>
      <c r="D235" s="127"/>
      <c r="E235" s="127"/>
      <c r="F235" s="339" t="s">
        <v>705</v>
      </c>
      <c r="G235" s="343">
        <v>15000</v>
      </c>
      <c r="H235" s="340">
        <v>0</v>
      </c>
      <c r="I235" s="340">
        <v>0</v>
      </c>
      <c r="J235" s="340">
        <f t="shared" ref="J235" si="20">+G235+H235-I235</f>
        <v>15000</v>
      </c>
      <c r="K235" s="340"/>
      <c r="L235" s="309"/>
    </row>
    <row r="236" spans="1:12" ht="24" hidden="1" x14ac:dyDescent="0.25">
      <c r="A236" s="127">
        <v>1</v>
      </c>
      <c r="B236" s="127">
        <v>2</v>
      </c>
      <c r="C236" s="127">
        <v>8</v>
      </c>
      <c r="D236" s="127"/>
      <c r="E236" s="127"/>
      <c r="F236" s="128" t="s">
        <v>131</v>
      </c>
      <c r="G236" s="128"/>
      <c r="H236" s="128"/>
      <c r="I236" s="128"/>
      <c r="J236" s="129"/>
      <c r="K236" s="129"/>
      <c r="L236" s="309"/>
    </row>
    <row r="237" spans="1:12" ht="24" hidden="1" x14ac:dyDescent="0.25">
      <c r="A237" s="127">
        <v>1</v>
      </c>
      <c r="B237" s="127">
        <v>2</v>
      </c>
      <c r="C237" s="127">
        <v>8</v>
      </c>
      <c r="D237" s="127">
        <v>1</v>
      </c>
      <c r="E237" s="127"/>
      <c r="F237" s="127" t="s">
        <v>318</v>
      </c>
      <c r="G237" s="127"/>
      <c r="H237" s="127"/>
      <c r="I237" s="127"/>
      <c r="J237" s="129"/>
      <c r="K237" s="129"/>
      <c r="L237" s="309"/>
    </row>
    <row r="238" spans="1:12" ht="24" hidden="1" x14ac:dyDescent="0.25">
      <c r="A238" s="127">
        <v>1</v>
      </c>
      <c r="B238" s="127">
        <v>2</v>
      </c>
      <c r="C238" s="127">
        <v>8</v>
      </c>
      <c r="D238" s="127">
        <v>2</v>
      </c>
      <c r="E238" s="127"/>
      <c r="F238" s="127" t="s">
        <v>319</v>
      </c>
      <c r="G238" s="127"/>
      <c r="H238" s="127"/>
      <c r="I238" s="127"/>
      <c r="J238" s="129"/>
      <c r="K238" s="129"/>
      <c r="L238" s="309"/>
    </row>
    <row r="239" spans="1:12" ht="24" hidden="1" x14ac:dyDescent="0.25">
      <c r="A239" s="127">
        <v>1</v>
      </c>
      <c r="B239" s="127">
        <v>2</v>
      </c>
      <c r="C239" s="127">
        <v>8</v>
      </c>
      <c r="D239" s="127">
        <v>3</v>
      </c>
      <c r="E239" s="127"/>
      <c r="F239" s="127" t="s">
        <v>320</v>
      </c>
      <c r="G239" s="127"/>
      <c r="H239" s="127"/>
      <c r="I239" s="127"/>
      <c r="J239" s="129"/>
      <c r="K239" s="129"/>
      <c r="L239" s="309"/>
    </row>
    <row r="240" spans="1:12" ht="24" hidden="1" x14ac:dyDescent="0.25">
      <c r="A240" s="127">
        <v>1</v>
      </c>
      <c r="B240" s="127">
        <v>2</v>
      </c>
      <c r="C240" s="127">
        <v>8</v>
      </c>
      <c r="D240" s="127">
        <v>4</v>
      </c>
      <c r="E240" s="127"/>
      <c r="F240" s="127" t="s">
        <v>321</v>
      </c>
      <c r="G240" s="127"/>
      <c r="H240" s="127"/>
      <c r="I240" s="127"/>
      <c r="J240" s="129"/>
      <c r="K240" s="129"/>
      <c r="L240" s="309"/>
    </row>
    <row r="241" spans="1:12" ht="24" hidden="1" x14ac:dyDescent="0.25">
      <c r="A241" s="127">
        <v>1</v>
      </c>
      <c r="B241" s="127">
        <v>2</v>
      </c>
      <c r="C241" s="127">
        <v>8</v>
      </c>
      <c r="D241" s="127">
        <v>9</v>
      </c>
      <c r="E241" s="127"/>
      <c r="F241" s="127" t="s">
        <v>322</v>
      </c>
      <c r="G241" s="127"/>
      <c r="H241" s="127"/>
      <c r="I241" s="127"/>
      <c r="J241" s="129"/>
      <c r="K241" s="129"/>
      <c r="L241" s="309"/>
    </row>
    <row r="242" spans="1:12" hidden="1" x14ac:dyDescent="0.25">
      <c r="A242" s="127">
        <v>1</v>
      </c>
      <c r="B242" s="127">
        <v>2</v>
      </c>
      <c r="C242" s="127">
        <v>9</v>
      </c>
      <c r="D242" s="127"/>
      <c r="E242" s="127"/>
      <c r="F242" s="128" t="s">
        <v>133</v>
      </c>
      <c r="G242" s="128"/>
      <c r="H242" s="128"/>
      <c r="I242" s="128"/>
      <c r="J242" s="129"/>
      <c r="K242" s="129"/>
      <c r="L242" s="309"/>
    </row>
    <row r="243" spans="1:12" hidden="1" x14ac:dyDescent="0.25">
      <c r="A243" s="127">
        <v>1</v>
      </c>
      <c r="B243" s="127">
        <v>2</v>
      </c>
      <c r="C243" s="127">
        <v>9</v>
      </c>
      <c r="D243" s="127">
        <v>1</v>
      </c>
      <c r="E243" s="127"/>
      <c r="F243" s="127" t="s">
        <v>323</v>
      </c>
      <c r="G243" s="127"/>
      <c r="H243" s="127"/>
      <c r="I243" s="127"/>
      <c r="J243" s="129"/>
      <c r="K243" s="129"/>
      <c r="L243" s="309"/>
    </row>
    <row r="244" spans="1:12" hidden="1" x14ac:dyDescent="0.25">
      <c r="A244" s="127">
        <v>1</v>
      </c>
      <c r="B244" s="127">
        <v>2</v>
      </c>
      <c r="C244" s="127">
        <v>9</v>
      </c>
      <c r="D244" s="127">
        <v>2</v>
      </c>
      <c r="E244" s="127"/>
      <c r="F244" s="127" t="s">
        <v>324</v>
      </c>
      <c r="G244" s="127"/>
      <c r="H244" s="127"/>
      <c r="I244" s="127"/>
      <c r="J244" s="129"/>
      <c r="K244" s="129"/>
      <c r="L244" s="309"/>
    </row>
    <row r="245" spans="1:12" hidden="1" x14ac:dyDescent="0.25">
      <c r="A245" s="127">
        <v>1</v>
      </c>
      <c r="B245" s="127">
        <v>2</v>
      </c>
      <c r="C245" s="127">
        <v>9</v>
      </c>
      <c r="D245" s="127">
        <v>3</v>
      </c>
      <c r="E245" s="127"/>
      <c r="F245" s="127" t="s">
        <v>325</v>
      </c>
      <c r="G245" s="127"/>
      <c r="H245" s="127"/>
      <c r="I245" s="127"/>
      <c r="J245" s="129"/>
      <c r="K245" s="129"/>
      <c r="L245" s="309"/>
    </row>
    <row r="246" spans="1:12" x14ac:dyDescent="0.25">
      <c r="A246" s="136">
        <v>2</v>
      </c>
      <c r="B246" s="136"/>
      <c r="C246" s="136"/>
      <c r="D246" s="136"/>
      <c r="E246" s="136"/>
      <c r="F246" s="136" t="s">
        <v>1</v>
      </c>
      <c r="G246" s="131">
        <f>+G247+G327</f>
        <v>10061260</v>
      </c>
      <c r="H246" s="131">
        <f>+H247+H327</f>
        <v>12696143</v>
      </c>
      <c r="I246" s="131">
        <f>+I247+I327</f>
        <v>8116084</v>
      </c>
      <c r="J246" s="131">
        <f>+J247+J327</f>
        <v>5481201</v>
      </c>
      <c r="K246" s="131"/>
      <c r="L246" s="309"/>
    </row>
    <row r="247" spans="1:12" x14ac:dyDescent="0.25">
      <c r="A247" s="126">
        <v>2</v>
      </c>
      <c r="B247" s="126">
        <v>1</v>
      </c>
      <c r="C247" s="126"/>
      <c r="D247" s="126"/>
      <c r="E247" s="126"/>
      <c r="F247" s="126" t="s">
        <v>326</v>
      </c>
      <c r="G247" s="129">
        <f>+G248+G290+G294+G298+G301+G305+G319+G323</f>
        <v>10061260</v>
      </c>
      <c r="H247" s="129">
        <f>+H248+H290+H294+H298+H301+H305+H319+H323</f>
        <v>12696143</v>
      </c>
      <c r="I247" s="129">
        <f>+I248+I290+I294+I298+I301+I305+I319+I323</f>
        <v>8116084</v>
      </c>
      <c r="J247" s="129">
        <f>+J248+J290+J294+J298+J301+J305+J319+J323</f>
        <v>5481201</v>
      </c>
      <c r="K247" s="129"/>
      <c r="L247" s="309"/>
    </row>
    <row r="248" spans="1:12" x14ac:dyDescent="0.25">
      <c r="A248" s="132">
        <v>2</v>
      </c>
      <c r="B248" s="132">
        <v>1</v>
      </c>
      <c r="C248" s="132">
        <v>1</v>
      </c>
      <c r="D248" s="132"/>
      <c r="E248" s="132"/>
      <c r="F248" s="135" t="s">
        <v>100</v>
      </c>
      <c r="G248" s="131">
        <f t="shared" ref="G248:I248" si="21">SUM(G249:G257)</f>
        <v>9750398</v>
      </c>
      <c r="H248" s="131">
        <f t="shared" si="21"/>
        <v>12103690</v>
      </c>
      <c r="I248" s="131">
        <f t="shared" si="21"/>
        <v>7670021</v>
      </c>
      <c r="J248" s="131">
        <f>SUM(J249:J257)</f>
        <v>5316729</v>
      </c>
      <c r="K248" s="131"/>
      <c r="L248" s="309"/>
    </row>
    <row r="249" spans="1:12" hidden="1" x14ac:dyDescent="0.25">
      <c r="A249" s="127">
        <v>2</v>
      </c>
      <c r="B249" s="127">
        <v>1</v>
      </c>
      <c r="C249" s="127">
        <v>1</v>
      </c>
      <c r="D249" s="127">
        <v>1</v>
      </c>
      <c r="E249" s="127"/>
      <c r="F249" s="127" t="s">
        <v>327</v>
      </c>
      <c r="G249" s="127"/>
      <c r="H249" s="127"/>
      <c r="I249" s="127"/>
      <c r="J249" s="129"/>
      <c r="K249" s="129"/>
      <c r="L249" s="309"/>
    </row>
    <row r="250" spans="1:12" hidden="1" x14ac:dyDescent="0.25">
      <c r="A250" s="127">
        <v>2</v>
      </c>
      <c r="B250" s="127">
        <v>1</v>
      </c>
      <c r="C250" s="127">
        <v>1</v>
      </c>
      <c r="D250" s="127">
        <v>2</v>
      </c>
      <c r="E250" s="127"/>
      <c r="F250" s="127" t="s">
        <v>328</v>
      </c>
      <c r="G250" s="127"/>
      <c r="H250" s="127"/>
      <c r="I250" s="127"/>
      <c r="J250" s="129"/>
      <c r="K250" s="129"/>
      <c r="L250" s="309"/>
    </row>
    <row r="251" spans="1:12" ht="24" hidden="1" x14ac:dyDescent="0.25">
      <c r="A251" s="127">
        <v>2</v>
      </c>
      <c r="B251" s="127">
        <v>1</v>
      </c>
      <c r="C251" s="127">
        <v>1</v>
      </c>
      <c r="D251" s="127">
        <v>3</v>
      </c>
      <c r="E251" s="127"/>
      <c r="F251" s="127" t="s">
        <v>329</v>
      </c>
      <c r="G251" s="127"/>
      <c r="H251" s="127"/>
      <c r="I251" s="127"/>
      <c r="J251" s="129"/>
      <c r="K251" s="129"/>
      <c r="L251" s="309"/>
    </row>
    <row r="252" spans="1:12" ht="24" hidden="1" x14ac:dyDescent="0.25">
      <c r="A252" s="127">
        <v>2</v>
      </c>
      <c r="B252" s="127">
        <v>1</v>
      </c>
      <c r="C252" s="127">
        <v>1</v>
      </c>
      <c r="D252" s="127">
        <v>4</v>
      </c>
      <c r="E252" s="127"/>
      <c r="F252" s="127" t="s">
        <v>330</v>
      </c>
      <c r="G252" s="127"/>
      <c r="H252" s="127"/>
      <c r="I252" s="127"/>
      <c r="J252" s="129"/>
      <c r="K252" s="129"/>
      <c r="L252" s="309"/>
    </row>
    <row r="253" spans="1:12" hidden="1" x14ac:dyDescent="0.25">
      <c r="A253" s="127">
        <v>2</v>
      </c>
      <c r="B253" s="127">
        <v>1</v>
      </c>
      <c r="C253" s="127">
        <v>1</v>
      </c>
      <c r="D253" s="127">
        <v>5</v>
      </c>
      <c r="E253" s="127"/>
      <c r="F253" s="127" t="s">
        <v>331</v>
      </c>
      <c r="G253" s="127"/>
      <c r="H253" s="127"/>
      <c r="I253" s="127"/>
      <c r="J253" s="129"/>
      <c r="K253" s="129"/>
      <c r="L253" s="309"/>
    </row>
    <row r="254" spans="1:12" ht="24" hidden="1" x14ac:dyDescent="0.25">
      <c r="A254" s="127">
        <v>2</v>
      </c>
      <c r="B254" s="127">
        <v>1</v>
      </c>
      <c r="C254" s="127">
        <v>1</v>
      </c>
      <c r="D254" s="127">
        <v>6</v>
      </c>
      <c r="E254" s="127"/>
      <c r="F254" s="127" t="s">
        <v>332</v>
      </c>
      <c r="G254" s="127"/>
      <c r="H254" s="127"/>
      <c r="I254" s="127"/>
      <c r="J254" s="129"/>
      <c r="K254" s="129"/>
      <c r="L254" s="309"/>
    </row>
    <row r="255" spans="1:12" ht="24" hidden="1" x14ac:dyDescent="0.25">
      <c r="A255" s="127">
        <v>2</v>
      </c>
      <c r="B255" s="127">
        <v>1</v>
      </c>
      <c r="C255" s="127">
        <v>1</v>
      </c>
      <c r="D255" s="127">
        <v>7</v>
      </c>
      <c r="E255" s="127"/>
      <c r="F255" s="127" t="s">
        <v>333</v>
      </c>
      <c r="G255" s="127"/>
      <c r="H255" s="127"/>
      <c r="I255" s="127"/>
      <c r="J255" s="129"/>
      <c r="K255" s="129"/>
      <c r="L255" s="309"/>
    </row>
    <row r="256" spans="1:12" ht="24" hidden="1" x14ac:dyDescent="0.25">
      <c r="A256" s="127">
        <v>2</v>
      </c>
      <c r="B256" s="127">
        <v>1</v>
      </c>
      <c r="C256" s="127">
        <v>1</v>
      </c>
      <c r="D256" s="127">
        <v>8</v>
      </c>
      <c r="E256" s="127"/>
      <c r="F256" s="127" t="s">
        <v>334</v>
      </c>
      <c r="G256" s="127"/>
      <c r="H256" s="127"/>
      <c r="I256" s="127"/>
      <c r="J256" s="129"/>
      <c r="K256" s="129"/>
      <c r="L256" s="309"/>
    </row>
    <row r="257" spans="1:12" x14ac:dyDescent="0.25">
      <c r="A257" s="132">
        <v>2</v>
      </c>
      <c r="B257" s="132">
        <v>1</v>
      </c>
      <c r="C257" s="132">
        <v>1</v>
      </c>
      <c r="D257" s="132">
        <v>9</v>
      </c>
      <c r="E257" s="132"/>
      <c r="F257" s="132" t="s">
        <v>335</v>
      </c>
      <c r="G257" s="131">
        <f>SUM(G258:G289)</f>
        <v>9750398</v>
      </c>
      <c r="H257" s="131">
        <f t="shared" ref="H257:J257" si="22">SUM(H258:H289)</f>
        <v>12103690</v>
      </c>
      <c r="I257" s="131">
        <f t="shared" si="22"/>
        <v>7670021</v>
      </c>
      <c r="J257" s="131">
        <f t="shared" si="22"/>
        <v>5316729</v>
      </c>
      <c r="K257" s="131">
        <f>SUM(K258:K284)</f>
        <v>0</v>
      </c>
      <c r="L257" s="309"/>
    </row>
    <row r="258" spans="1:12" x14ac:dyDescent="0.25">
      <c r="A258" s="127"/>
      <c r="B258" s="127"/>
      <c r="C258" s="127"/>
      <c r="D258" s="127"/>
      <c r="E258" s="127">
        <v>1</v>
      </c>
      <c r="F258" s="127" t="s">
        <v>752</v>
      </c>
      <c r="G258" s="144">
        <v>19728</v>
      </c>
      <c r="H258" s="140">
        <f>5466+14262</f>
        <v>19728</v>
      </c>
      <c r="I258" s="140">
        <f>0+0+0</f>
        <v>0</v>
      </c>
      <c r="J258" s="129">
        <f>+G258+I258-H258</f>
        <v>0</v>
      </c>
      <c r="K258" s="129"/>
      <c r="L258" s="309"/>
    </row>
    <row r="259" spans="1:12" hidden="1" x14ac:dyDescent="0.25">
      <c r="A259" s="127"/>
      <c r="B259" s="127"/>
      <c r="C259" s="127"/>
      <c r="D259" s="127"/>
      <c r="E259" s="127">
        <v>2</v>
      </c>
      <c r="F259" s="127" t="s">
        <v>754</v>
      </c>
      <c r="G259" s="140">
        <v>0</v>
      </c>
      <c r="H259" s="140"/>
      <c r="I259" s="140"/>
      <c r="J259" s="129">
        <f t="shared" ref="J259:J289" si="23">+G259+I259-H259</f>
        <v>0</v>
      </c>
      <c r="K259" s="129"/>
      <c r="L259" s="309"/>
    </row>
    <row r="260" spans="1:12" hidden="1" x14ac:dyDescent="0.25">
      <c r="A260" s="127"/>
      <c r="B260" s="127"/>
      <c r="C260" s="127"/>
      <c r="D260" s="127"/>
      <c r="E260" s="127">
        <v>3</v>
      </c>
      <c r="F260" s="127" t="s">
        <v>723</v>
      </c>
      <c r="G260" s="140">
        <v>0</v>
      </c>
      <c r="H260" s="140"/>
      <c r="I260" s="140"/>
      <c r="J260" s="129">
        <f t="shared" si="23"/>
        <v>0</v>
      </c>
      <c r="K260" s="129"/>
      <c r="L260" s="309"/>
    </row>
    <row r="261" spans="1:12" x14ac:dyDescent="0.25">
      <c r="A261" s="127"/>
      <c r="B261" s="127"/>
      <c r="C261" s="127"/>
      <c r="D261" s="127"/>
      <c r="E261" s="127">
        <v>4</v>
      </c>
      <c r="F261" s="127" t="s">
        <v>724</v>
      </c>
      <c r="G261" s="140">
        <v>58787</v>
      </c>
      <c r="H261" s="140"/>
      <c r="I261" s="140"/>
      <c r="J261" s="129">
        <f t="shared" si="23"/>
        <v>58787</v>
      </c>
      <c r="K261" s="129"/>
      <c r="L261" s="309"/>
    </row>
    <row r="262" spans="1:12" hidden="1" x14ac:dyDescent="0.25">
      <c r="A262" s="127"/>
      <c r="B262" s="127"/>
      <c r="C262" s="127"/>
      <c r="D262" s="127"/>
      <c r="E262" s="127"/>
      <c r="F262" s="127" t="s">
        <v>617</v>
      </c>
      <c r="G262" s="140">
        <v>0</v>
      </c>
      <c r="H262" s="140"/>
      <c r="I262" s="140"/>
      <c r="J262" s="129">
        <f t="shared" si="23"/>
        <v>0</v>
      </c>
      <c r="K262" s="129"/>
      <c r="L262" s="309"/>
    </row>
    <row r="263" spans="1:12" hidden="1" x14ac:dyDescent="0.25">
      <c r="A263" s="127"/>
      <c r="B263" s="127"/>
      <c r="C263" s="127"/>
      <c r="D263" s="127"/>
      <c r="E263" s="127"/>
      <c r="F263" s="127" t="s">
        <v>1137</v>
      </c>
      <c r="G263" s="140">
        <v>0</v>
      </c>
      <c r="H263" s="140"/>
      <c r="I263" s="140"/>
      <c r="J263" s="129">
        <f t="shared" si="23"/>
        <v>0</v>
      </c>
      <c r="K263" s="129"/>
      <c r="L263" s="309"/>
    </row>
    <row r="264" spans="1:12" hidden="1" x14ac:dyDescent="0.25">
      <c r="A264" s="127"/>
      <c r="B264" s="127"/>
      <c r="C264" s="127"/>
      <c r="D264" s="127"/>
      <c r="E264" s="127"/>
      <c r="F264" s="127" t="s">
        <v>1133</v>
      </c>
      <c r="G264" s="140">
        <v>0</v>
      </c>
      <c r="H264" s="140"/>
      <c r="I264" s="140"/>
      <c r="J264" s="129">
        <f t="shared" si="23"/>
        <v>0</v>
      </c>
      <c r="K264" s="129"/>
      <c r="L264" s="309"/>
    </row>
    <row r="265" spans="1:12" hidden="1" x14ac:dyDescent="0.25">
      <c r="A265" s="127"/>
      <c r="B265" s="127"/>
      <c r="C265" s="127"/>
      <c r="D265" s="127"/>
      <c r="E265" s="127"/>
      <c r="F265" s="127" t="s">
        <v>1135</v>
      </c>
      <c r="G265" s="140">
        <v>0</v>
      </c>
      <c r="H265" s="140"/>
      <c r="I265" s="140"/>
      <c r="J265" s="129">
        <f t="shared" si="23"/>
        <v>0</v>
      </c>
      <c r="K265" s="129"/>
      <c r="L265" s="309"/>
    </row>
    <row r="266" spans="1:12" hidden="1" x14ac:dyDescent="0.25">
      <c r="A266" s="127"/>
      <c r="B266" s="127"/>
      <c r="C266" s="127"/>
      <c r="D266" s="127"/>
      <c r="E266" s="127"/>
      <c r="F266" s="127" t="s">
        <v>1134</v>
      </c>
      <c r="G266" s="140">
        <v>0</v>
      </c>
      <c r="H266" s="140"/>
      <c r="I266" s="140"/>
      <c r="J266" s="129">
        <f t="shared" si="23"/>
        <v>0</v>
      </c>
      <c r="K266" s="129"/>
      <c r="L266" s="309"/>
    </row>
    <row r="267" spans="1:12" hidden="1" x14ac:dyDescent="0.25">
      <c r="A267" s="127"/>
      <c r="B267" s="127"/>
      <c r="C267" s="127"/>
      <c r="D267" s="127"/>
      <c r="E267" s="127"/>
      <c r="F267" s="127" t="s">
        <v>1128</v>
      </c>
      <c r="G267" s="140">
        <v>0</v>
      </c>
      <c r="H267" s="140"/>
      <c r="I267" s="140"/>
      <c r="J267" s="129">
        <f t="shared" si="23"/>
        <v>0</v>
      </c>
      <c r="K267" s="129"/>
      <c r="L267" s="309"/>
    </row>
    <row r="268" spans="1:12" x14ac:dyDescent="0.25">
      <c r="A268" s="127"/>
      <c r="B268" s="127"/>
      <c r="C268" s="127"/>
      <c r="D268" s="127"/>
      <c r="E268" s="127"/>
      <c r="F268" s="127" t="s">
        <v>1239</v>
      </c>
      <c r="G268" s="140">
        <v>1271</v>
      </c>
      <c r="H268" s="140"/>
      <c r="I268" s="140"/>
      <c r="J268" s="129">
        <f t="shared" si="23"/>
        <v>1271</v>
      </c>
      <c r="K268" s="129"/>
      <c r="L268" s="309"/>
    </row>
    <row r="269" spans="1:12" x14ac:dyDescent="0.25">
      <c r="A269" s="127"/>
      <c r="B269" s="127"/>
      <c r="C269" s="127"/>
      <c r="D269" s="127"/>
      <c r="E269" s="127"/>
      <c r="F269" s="127" t="s">
        <v>1136</v>
      </c>
      <c r="G269" s="140">
        <v>0</v>
      </c>
      <c r="H269" s="140"/>
      <c r="I269" s="140"/>
      <c r="J269" s="129">
        <f t="shared" si="23"/>
        <v>0</v>
      </c>
      <c r="K269" s="129"/>
      <c r="L269" s="309"/>
    </row>
    <row r="270" spans="1:12" x14ac:dyDescent="0.25">
      <c r="A270" s="127"/>
      <c r="B270" s="127"/>
      <c r="C270" s="127"/>
      <c r="D270" s="127"/>
      <c r="E270" s="127"/>
      <c r="F270" s="127" t="s">
        <v>1251</v>
      </c>
      <c r="G270" s="140">
        <v>0</v>
      </c>
      <c r="H270" s="140">
        <v>2</v>
      </c>
      <c r="I270" s="140">
        <v>21</v>
      </c>
      <c r="J270" s="129">
        <f t="shared" si="23"/>
        <v>19</v>
      </c>
      <c r="K270" s="129"/>
      <c r="L270" s="309"/>
    </row>
    <row r="271" spans="1:12" hidden="1" x14ac:dyDescent="0.25">
      <c r="A271" s="127"/>
      <c r="B271" s="127"/>
      <c r="C271" s="127"/>
      <c r="D271" s="127"/>
      <c r="E271" s="127"/>
      <c r="F271" s="127" t="s">
        <v>608</v>
      </c>
      <c r="G271" s="140">
        <v>0</v>
      </c>
      <c r="H271" s="140"/>
      <c r="I271" s="140"/>
      <c r="J271" s="129">
        <f t="shared" si="23"/>
        <v>0</v>
      </c>
      <c r="K271" s="129"/>
      <c r="L271" s="309"/>
    </row>
    <row r="272" spans="1:12" hidden="1" x14ac:dyDescent="0.25">
      <c r="A272" s="127"/>
      <c r="B272" s="127"/>
      <c r="C272" s="127"/>
      <c r="D272" s="127"/>
      <c r="E272" s="127"/>
      <c r="F272" s="127" t="s">
        <v>753</v>
      </c>
      <c r="G272" s="140">
        <v>0</v>
      </c>
      <c r="H272" s="140"/>
      <c r="I272" s="140"/>
      <c r="J272" s="129">
        <f t="shared" si="23"/>
        <v>0</v>
      </c>
      <c r="K272" s="129"/>
      <c r="L272" s="309"/>
    </row>
    <row r="273" spans="1:12" hidden="1" x14ac:dyDescent="0.25">
      <c r="A273" s="127"/>
      <c r="B273" s="127"/>
      <c r="C273" s="127"/>
      <c r="D273" s="127"/>
      <c r="E273" s="127"/>
      <c r="F273" s="127" t="s">
        <v>609</v>
      </c>
      <c r="G273" s="140">
        <v>0</v>
      </c>
      <c r="H273" s="140"/>
      <c r="I273" s="140"/>
      <c r="J273" s="129">
        <f t="shared" si="23"/>
        <v>0</v>
      </c>
      <c r="K273" s="129"/>
      <c r="L273" s="309"/>
    </row>
    <row r="274" spans="1:12" x14ac:dyDescent="0.25">
      <c r="A274" s="127"/>
      <c r="B274" s="127"/>
      <c r="C274" s="127"/>
      <c r="D274" s="127"/>
      <c r="E274" s="127"/>
      <c r="F274" s="127" t="s">
        <v>1238</v>
      </c>
      <c r="G274" s="140">
        <v>550193</v>
      </c>
      <c r="H274" s="140">
        <f>1100+1302+25236</f>
        <v>27638</v>
      </c>
      <c r="I274" s="140"/>
      <c r="J274" s="129">
        <f t="shared" si="23"/>
        <v>522555</v>
      </c>
      <c r="K274" s="129"/>
      <c r="L274" s="309"/>
    </row>
    <row r="275" spans="1:12" x14ac:dyDescent="0.25">
      <c r="A275" s="127"/>
      <c r="B275" s="127"/>
      <c r="C275" s="127"/>
      <c r="D275" s="127"/>
      <c r="E275" s="127"/>
      <c r="F275" s="127" t="s">
        <v>610</v>
      </c>
      <c r="G275" s="140">
        <v>1358007</v>
      </c>
      <c r="H275" s="140">
        <f>361868+95327+155463</f>
        <v>612658</v>
      </c>
      <c r="I275" s="140">
        <v>0</v>
      </c>
      <c r="J275" s="129">
        <f t="shared" si="23"/>
        <v>745349</v>
      </c>
      <c r="K275" s="129"/>
      <c r="L275" s="309"/>
    </row>
    <row r="276" spans="1:12" hidden="1" x14ac:dyDescent="0.25">
      <c r="A276" s="127"/>
      <c r="B276" s="127"/>
      <c r="C276" s="127"/>
      <c r="D276" s="127"/>
      <c r="E276" s="127"/>
      <c r="F276" s="127" t="s">
        <v>611</v>
      </c>
      <c r="G276" s="140">
        <v>0</v>
      </c>
      <c r="H276" s="140"/>
      <c r="I276" s="140"/>
      <c r="J276" s="129">
        <f t="shared" si="23"/>
        <v>0</v>
      </c>
      <c r="K276" s="129"/>
      <c r="L276" s="309"/>
    </row>
    <row r="277" spans="1:12" hidden="1" x14ac:dyDescent="0.25">
      <c r="A277" s="127"/>
      <c r="B277" s="127"/>
      <c r="C277" s="127"/>
      <c r="D277" s="127"/>
      <c r="E277" s="127"/>
      <c r="F277" s="127" t="s">
        <v>612</v>
      </c>
      <c r="G277" s="140">
        <v>0</v>
      </c>
      <c r="H277" s="140"/>
      <c r="I277" s="140"/>
      <c r="J277" s="129">
        <f t="shared" si="23"/>
        <v>0</v>
      </c>
      <c r="K277" s="129"/>
      <c r="L277" s="309"/>
    </row>
    <row r="278" spans="1:12" hidden="1" x14ac:dyDescent="0.25">
      <c r="A278" s="127"/>
      <c r="B278" s="127"/>
      <c r="C278" s="127"/>
      <c r="D278" s="127"/>
      <c r="E278" s="127"/>
      <c r="F278" s="127" t="s">
        <v>613</v>
      </c>
      <c r="G278" s="140">
        <v>0</v>
      </c>
      <c r="H278" s="140"/>
      <c r="I278" s="140"/>
      <c r="J278" s="129">
        <f t="shared" si="23"/>
        <v>0</v>
      </c>
      <c r="K278" s="129"/>
      <c r="L278" s="309"/>
    </row>
    <row r="279" spans="1:12" hidden="1" x14ac:dyDescent="0.25">
      <c r="A279" s="127"/>
      <c r="B279" s="127"/>
      <c r="C279" s="127"/>
      <c r="D279" s="127"/>
      <c r="E279" s="127"/>
      <c r="F279" s="127" t="s">
        <v>843</v>
      </c>
      <c r="G279" s="140">
        <v>0</v>
      </c>
      <c r="H279" s="140"/>
      <c r="I279" s="140"/>
      <c r="J279" s="129">
        <f t="shared" si="23"/>
        <v>0</v>
      </c>
      <c r="K279" s="129"/>
      <c r="L279" s="309"/>
    </row>
    <row r="280" spans="1:12" hidden="1" x14ac:dyDescent="0.25">
      <c r="A280" s="127"/>
      <c r="B280" s="127"/>
      <c r="C280" s="127"/>
      <c r="D280" s="127"/>
      <c r="E280" s="127"/>
      <c r="F280" s="127" t="s">
        <v>615</v>
      </c>
      <c r="G280" s="140">
        <v>0</v>
      </c>
      <c r="H280" s="140"/>
      <c r="I280" s="140"/>
      <c r="J280" s="129">
        <f t="shared" si="23"/>
        <v>0</v>
      </c>
      <c r="K280" s="129"/>
      <c r="L280" s="309"/>
    </row>
    <row r="281" spans="1:12" hidden="1" x14ac:dyDescent="0.25">
      <c r="A281" s="127"/>
      <c r="B281" s="127"/>
      <c r="C281" s="127"/>
      <c r="D281" s="127"/>
      <c r="E281" s="127"/>
      <c r="F281" s="127" t="s">
        <v>614</v>
      </c>
      <c r="G281" s="140">
        <v>0</v>
      </c>
      <c r="H281" s="140"/>
      <c r="I281" s="140"/>
      <c r="J281" s="129">
        <f t="shared" si="23"/>
        <v>0</v>
      </c>
      <c r="K281" s="129"/>
      <c r="L281" s="309"/>
    </row>
    <row r="282" spans="1:12" hidden="1" x14ac:dyDescent="0.25">
      <c r="A282" s="127"/>
      <c r="B282" s="127"/>
      <c r="C282" s="127"/>
      <c r="D282" s="127"/>
      <c r="E282" s="127"/>
      <c r="F282" s="127" t="s">
        <v>842</v>
      </c>
      <c r="G282" s="140">
        <v>0</v>
      </c>
      <c r="H282" s="140"/>
      <c r="I282" s="140"/>
      <c r="J282" s="129">
        <f t="shared" si="23"/>
        <v>0</v>
      </c>
      <c r="K282" s="129"/>
      <c r="L282" s="309"/>
    </row>
    <row r="283" spans="1:12" hidden="1" x14ac:dyDescent="0.25">
      <c r="A283" s="127"/>
      <c r="B283" s="127"/>
      <c r="C283" s="127"/>
      <c r="D283" s="127"/>
      <c r="E283" s="127"/>
      <c r="F283" s="127" t="s">
        <v>616</v>
      </c>
      <c r="G283" s="140">
        <v>0</v>
      </c>
      <c r="H283" s="140"/>
      <c r="I283" s="140"/>
      <c r="J283" s="129">
        <f t="shared" si="23"/>
        <v>0</v>
      </c>
      <c r="K283" s="129"/>
      <c r="L283" s="309"/>
    </row>
    <row r="284" spans="1:12" x14ac:dyDescent="0.25">
      <c r="A284" s="127"/>
      <c r="B284" s="127"/>
      <c r="C284" s="127"/>
      <c r="D284" s="127"/>
      <c r="E284" s="127"/>
      <c r="F284" s="127" t="s">
        <v>1021</v>
      </c>
      <c r="G284" s="140">
        <v>23</v>
      </c>
      <c r="H284" s="140">
        <v>23</v>
      </c>
      <c r="I284" s="140"/>
      <c r="J284" s="129">
        <f t="shared" si="23"/>
        <v>0</v>
      </c>
      <c r="K284" s="129"/>
      <c r="L284" s="309"/>
    </row>
    <row r="285" spans="1:12" x14ac:dyDescent="0.25">
      <c r="A285" s="127"/>
      <c r="B285" s="127"/>
      <c r="C285" s="127"/>
      <c r="D285" s="127"/>
      <c r="E285" s="127"/>
      <c r="F285" s="127" t="s">
        <v>1129</v>
      </c>
      <c r="G285" s="140">
        <v>6669007</v>
      </c>
      <c r="H285" s="140">
        <f>3890400+4126816</f>
        <v>8017216</v>
      </c>
      <c r="I285" s="140">
        <f>0+3654000+0</f>
        <v>3654000</v>
      </c>
      <c r="J285" s="129">
        <f t="shared" si="23"/>
        <v>2305791</v>
      </c>
      <c r="K285" s="129"/>
      <c r="L285" s="309"/>
    </row>
    <row r="286" spans="1:12" x14ac:dyDescent="0.25">
      <c r="A286" s="127"/>
      <c r="B286" s="127"/>
      <c r="C286" s="127"/>
      <c r="D286" s="127"/>
      <c r="E286" s="127"/>
      <c r="F286" s="127" t="s">
        <v>1130</v>
      </c>
      <c r="G286" s="140">
        <v>-257</v>
      </c>
      <c r="H286" s="140"/>
      <c r="I286" s="140"/>
      <c r="J286" s="129">
        <f t="shared" si="23"/>
        <v>-257</v>
      </c>
      <c r="K286" s="129"/>
      <c r="L286" s="309"/>
    </row>
    <row r="287" spans="1:12" x14ac:dyDescent="0.25">
      <c r="A287" s="127"/>
      <c r="B287" s="127"/>
      <c r="C287" s="127"/>
      <c r="D287" s="127"/>
      <c r="E287" s="127"/>
      <c r="F287" s="127" t="s">
        <v>1240</v>
      </c>
      <c r="G287" s="140">
        <v>99987</v>
      </c>
      <c r="H287" s="140"/>
      <c r="I287" s="140"/>
      <c r="J287" s="129">
        <f t="shared" si="23"/>
        <v>99987</v>
      </c>
      <c r="K287" s="129"/>
      <c r="L287" s="309"/>
    </row>
    <row r="288" spans="1:12" x14ac:dyDescent="0.25">
      <c r="A288" s="127"/>
      <c r="B288" s="127"/>
      <c r="C288" s="127"/>
      <c r="D288" s="127"/>
      <c r="E288" s="127"/>
      <c r="F288" s="127" t="s">
        <v>1241</v>
      </c>
      <c r="G288" s="140">
        <v>993652</v>
      </c>
      <c r="H288" s="140">
        <f>465109+677762+342905</f>
        <v>1485776</v>
      </c>
      <c r="I288" s="140">
        <f>620000+180000+231000</f>
        <v>1031000</v>
      </c>
      <c r="J288" s="129">
        <f t="shared" si="23"/>
        <v>538876</v>
      </c>
      <c r="K288" s="129"/>
      <c r="L288" s="309"/>
    </row>
    <row r="289" spans="1:12" x14ac:dyDescent="0.25">
      <c r="A289" s="127"/>
      <c r="B289" s="127"/>
      <c r="C289" s="127"/>
      <c r="D289" s="127"/>
      <c r="E289" s="127"/>
      <c r="F289" s="127" t="s">
        <v>1252</v>
      </c>
      <c r="G289" s="140"/>
      <c r="H289" s="140">
        <f>1097513+453883+389253</f>
        <v>1940649</v>
      </c>
      <c r="I289" s="140">
        <f>2985000</f>
        <v>2985000</v>
      </c>
      <c r="J289" s="129">
        <f t="shared" si="23"/>
        <v>1044351</v>
      </c>
      <c r="K289" s="129"/>
      <c r="L289" s="309"/>
    </row>
    <row r="290" spans="1:12" hidden="1" x14ac:dyDescent="0.25">
      <c r="A290" s="138">
        <v>2</v>
      </c>
      <c r="B290" s="138">
        <v>1</v>
      </c>
      <c r="C290" s="138">
        <v>2</v>
      </c>
      <c r="D290" s="138"/>
      <c r="E290" s="138"/>
      <c r="F290" s="143" t="s">
        <v>102</v>
      </c>
      <c r="G290" s="143"/>
      <c r="H290" s="143"/>
      <c r="I290" s="143"/>
      <c r="J290" s="139"/>
      <c r="K290" s="139"/>
      <c r="L290" s="309"/>
    </row>
    <row r="291" spans="1:12" hidden="1" x14ac:dyDescent="0.25">
      <c r="A291" s="127">
        <v>2</v>
      </c>
      <c r="B291" s="127">
        <v>1</v>
      </c>
      <c r="C291" s="127">
        <v>2</v>
      </c>
      <c r="D291" s="127">
        <v>1</v>
      </c>
      <c r="E291" s="127"/>
      <c r="F291" s="127" t="s">
        <v>336</v>
      </c>
      <c r="G291" s="127"/>
      <c r="H291" s="127"/>
      <c r="I291" s="127"/>
      <c r="J291" s="129"/>
      <c r="K291" s="129"/>
      <c r="L291" s="309"/>
    </row>
    <row r="292" spans="1:12" ht="24" hidden="1" x14ac:dyDescent="0.25">
      <c r="A292" s="127">
        <v>2</v>
      </c>
      <c r="B292" s="127">
        <v>1</v>
      </c>
      <c r="C292" s="127">
        <v>2</v>
      </c>
      <c r="D292" s="127">
        <v>2</v>
      </c>
      <c r="E292" s="127"/>
      <c r="F292" s="127" t="s">
        <v>337</v>
      </c>
      <c r="G292" s="127"/>
      <c r="H292" s="127"/>
      <c r="I292" s="127"/>
      <c r="J292" s="129"/>
      <c r="K292" s="129"/>
      <c r="L292" s="309"/>
    </row>
    <row r="293" spans="1:12" hidden="1" x14ac:dyDescent="0.25">
      <c r="A293" s="127">
        <v>2</v>
      </c>
      <c r="B293" s="127">
        <v>1</v>
      </c>
      <c r="C293" s="127">
        <v>2</v>
      </c>
      <c r="D293" s="127">
        <v>9</v>
      </c>
      <c r="E293" s="127"/>
      <c r="F293" s="127" t="s">
        <v>338</v>
      </c>
      <c r="G293" s="127"/>
      <c r="H293" s="127"/>
      <c r="I293" s="127"/>
      <c r="J293" s="129"/>
      <c r="K293" s="129"/>
      <c r="L293" s="309"/>
    </row>
    <row r="294" spans="1:12" ht="24" hidden="1" x14ac:dyDescent="0.25">
      <c r="A294" s="127">
        <v>2</v>
      </c>
      <c r="B294" s="127">
        <v>1</v>
      </c>
      <c r="C294" s="127">
        <v>3</v>
      </c>
      <c r="D294" s="127"/>
      <c r="E294" s="127"/>
      <c r="F294" s="128" t="s">
        <v>104</v>
      </c>
      <c r="G294" s="128"/>
      <c r="H294" s="128"/>
      <c r="I294" s="128"/>
      <c r="J294" s="129"/>
      <c r="K294" s="129"/>
      <c r="L294" s="309"/>
    </row>
    <row r="295" spans="1:12" hidden="1" x14ac:dyDescent="0.25">
      <c r="A295" s="127">
        <v>2</v>
      </c>
      <c r="B295" s="127">
        <v>1</v>
      </c>
      <c r="C295" s="127">
        <v>3</v>
      </c>
      <c r="D295" s="127">
        <v>1</v>
      </c>
      <c r="E295" s="127"/>
      <c r="F295" s="127" t="s">
        <v>339</v>
      </c>
      <c r="G295" s="127"/>
      <c r="H295" s="127"/>
      <c r="I295" s="127"/>
      <c r="J295" s="129"/>
      <c r="K295" s="129"/>
      <c r="L295" s="309"/>
    </row>
    <row r="296" spans="1:12" hidden="1" x14ac:dyDescent="0.25">
      <c r="A296" s="127">
        <v>2</v>
      </c>
      <c r="B296" s="127">
        <v>1</v>
      </c>
      <c r="C296" s="127">
        <v>3</v>
      </c>
      <c r="D296" s="127">
        <v>2</v>
      </c>
      <c r="E296" s="127"/>
      <c r="F296" s="127" t="s">
        <v>340</v>
      </c>
      <c r="G296" s="127"/>
      <c r="H296" s="127"/>
      <c r="I296" s="127"/>
      <c r="J296" s="129"/>
      <c r="K296" s="129"/>
      <c r="L296" s="309"/>
    </row>
    <row r="297" spans="1:12" hidden="1" x14ac:dyDescent="0.25">
      <c r="A297" s="127">
        <v>2</v>
      </c>
      <c r="B297" s="127">
        <v>1</v>
      </c>
      <c r="C297" s="127">
        <v>3</v>
      </c>
      <c r="D297" s="127">
        <v>3</v>
      </c>
      <c r="E297" s="127"/>
      <c r="F297" s="127" t="s">
        <v>341</v>
      </c>
      <c r="G297" s="127"/>
      <c r="H297" s="127"/>
      <c r="I297" s="127"/>
      <c r="J297" s="129"/>
      <c r="K297" s="129"/>
      <c r="L297" s="309"/>
    </row>
    <row r="298" spans="1:12" hidden="1" x14ac:dyDescent="0.25">
      <c r="A298" s="127">
        <v>2</v>
      </c>
      <c r="B298" s="127">
        <v>1</v>
      </c>
      <c r="C298" s="127">
        <v>4</v>
      </c>
      <c r="D298" s="127"/>
      <c r="E298" s="127"/>
      <c r="F298" s="128" t="s">
        <v>106</v>
      </c>
      <c r="G298" s="128"/>
      <c r="H298" s="128"/>
      <c r="I298" s="128"/>
      <c r="J298" s="129"/>
      <c r="K298" s="129"/>
      <c r="L298" s="309"/>
    </row>
    <row r="299" spans="1:12" ht="24" hidden="1" x14ac:dyDescent="0.25">
      <c r="A299" s="127">
        <v>2</v>
      </c>
      <c r="B299" s="127">
        <v>1</v>
      </c>
      <c r="C299" s="127">
        <v>4</v>
      </c>
      <c r="D299" s="127">
        <v>1</v>
      </c>
      <c r="E299" s="127"/>
      <c r="F299" s="127" t="s">
        <v>342</v>
      </c>
      <c r="G299" s="127"/>
      <c r="H299" s="127"/>
      <c r="I299" s="127"/>
      <c r="J299" s="129"/>
      <c r="K299" s="129"/>
      <c r="L299" s="309"/>
    </row>
    <row r="300" spans="1:12" ht="24" hidden="1" x14ac:dyDescent="0.25">
      <c r="A300" s="127">
        <v>2</v>
      </c>
      <c r="B300" s="127">
        <v>1</v>
      </c>
      <c r="C300" s="127">
        <v>4</v>
      </c>
      <c r="D300" s="127">
        <v>2</v>
      </c>
      <c r="E300" s="127"/>
      <c r="F300" s="127" t="s">
        <v>343</v>
      </c>
      <c r="G300" s="127"/>
      <c r="H300" s="127"/>
      <c r="I300" s="127"/>
      <c r="J300" s="129"/>
      <c r="K300" s="129"/>
      <c r="L300" s="309"/>
    </row>
    <row r="301" spans="1:12" hidden="1" x14ac:dyDescent="0.25">
      <c r="A301" s="127">
        <v>2</v>
      </c>
      <c r="B301" s="127">
        <v>1</v>
      </c>
      <c r="C301" s="127">
        <v>5</v>
      </c>
      <c r="D301" s="127"/>
      <c r="E301" s="127"/>
      <c r="F301" s="128" t="s">
        <v>108</v>
      </c>
      <c r="G301" s="128"/>
      <c r="H301" s="128"/>
      <c r="I301" s="128"/>
      <c r="J301" s="129"/>
      <c r="K301" s="129"/>
      <c r="L301" s="309"/>
    </row>
    <row r="302" spans="1:12" hidden="1" x14ac:dyDescent="0.25">
      <c r="A302" s="127">
        <v>2</v>
      </c>
      <c r="B302" s="127">
        <v>1</v>
      </c>
      <c r="C302" s="127">
        <v>5</v>
      </c>
      <c r="D302" s="127">
        <v>1</v>
      </c>
      <c r="E302" s="127"/>
      <c r="F302" s="127" t="s">
        <v>344</v>
      </c>
      <c r="G302" s="127"/>
      <c r="H302" s="127"/>
      <c r="I302" s="127"/>
      <c r="J302" s="129"/>
      <c r="K302" s="129"/>
      <c r="L302" s="309"/>
    </row>
    <row r="303" spans="1:12" hidden="1" x14ac:dyDescent="0.25">
      <c r="A303" s="127">
        <v>2</v>
      </c>
      <c r="B303" s="127">
        <v>1</v>
      </c>
      <c r="C303" s="127">
        <v>5</v>
      </c>
      <c r="D303" s="127">
        <v>2</v>
      </c>
      <c r="E303" s="127"/>
      <c r="F303" s="127" t="s">
        <v>345</v>
      </c>
      <c r="G303" s="127"/>
      <c r="H303" s="127"/>
      <c r="I303" s="127"/>
      <c r="J303" s="129"/>
      <c r="K303" s="129"/>
      <c r="L303" s="309"/>
    </row>
    <row r="304" spans="1:12" hidden="1" x14ac:dyDescent="0.25">
      <c r="A304" s="127">
        <v>2</v>
      </c>
      <c r="B304" s="127">
        <v>1</v>
      </c>
      <c r="C304" s="127">
        <v>5</v>
      </c>
      <c r="D304" s="127">
        <v>9</v>
      </c>
      <c r="E304" s="127"/>
      <c r="F304" s="127" t="s">
        <v>346</v>
      </c>
      <c r="G304" s="127"/>
      <c r="H304" s="127"/>
      <c r="I304" s="127"/>
      <c r="J304" s="129"/>
      <c r="K304" s="129"/>
      <c r="L304" s="309"/>
    </row>
    <row r="305" spans="1:12" ht="24" x14ac:dyDescent="0.25">
      <c r="A305" s="132">
        <v>2</v>
      </c>
      <c r="B305" s="132">
        <v>1</v>
      </c>
      <c r="C305" s="132">
        <v>6</v>
      </c>
      <c r="D305" s="132"/>
      <c r="E305" s="132"/>
      <c r="F305" s="135" t="s">
        <v>110</v>
      </c>
      <c r="G305" s="131">
        <f>G310</f>
        <v>310862</v>
      </c>
      <c r="H305" s="131">
        <f t="shared" ref="H305:J305" si="24">H310</f>
        <v>592453</v>
      </c>
      <c r="I305" s="131">
        <f t="shared" si="24"/>
        <v>446063</v>
      </c>
      <c r="J305" s="131">
        <f t="shared" si="24"/>
        <v>164472</v>
      </c>
      <c r="K305" s="131"/>
      <c r="L305" s="309"/>
    </row>
    <row r="306" spans="1:12" hidden="1" x14ac:dyDescent="0.25">
      <c r="A306" s="127">
        <v>2</v>
      </c>
      <c r="B306" s="127">
        <v>1</v>
      </c>
      <c r="C306" s="127">
        <v>6</v>
      </c>
      <c r="D306" s="127">
        <v>1</v>
      </c>
      <c r="E306" s="127"/>
      <c r="F306" s="127" t="s">
        <v>347</v>
      </c>
      <c r="G306" s="127"/>
      <c r="H306" s="127"/>
      <c r="I306" s="127"/>
      <c r="J306" s="129"/>
      <c r="K306" s="129"/>
      <c r="L306" s="309"/>
    </row>
    <row r="307" spans="1:12" hidden="1" x14ac:dyDescent="0.25">
      <c r="A307" s="127">
        <v>2</v>
      </c>
      <c r="B307" s="127">
        <v>1</v>
      </c>
      <c r="C307" s="127">
        <v>6</v>
      </c>
      <c r="D307" s="127">
        <v>2</v>
      </c>
      <c r="E307" s="127"/>
      <c r="F307" s="127" t="s">
        <v>348</v>
      </c>
      <c r="G307" s="127"/>
      <c r="H307" s="127"/>
      <c r="I307" s="127"/>
      <c r="J307" s="129"/>
      <c r="K307" s="129"/>
      <c r="L307" s="309"/>
    </row>
    <row r="308" spans="1:12" hidden="1" x14ac:dyDescent="0.25">
      <c r="A308" s="127">
        <v>2</v>
      </c>
      <c r="B308" s="127">
        <v>1</v>
      </c>
      <c r="C308" s="127">
        <v>6</v>
      </c>
      <c r="D308" s="127">
        <v>3</v>
      </c>
      <c r="E308" s="127"/>
      <c r="F308" s="127" t="s">
        <v>349</v>
      </c>
      <c r="G308" s="127"/>
      <c r="H308" s="127"/>
      <c r="I308" s="127"/>
      <c r="J308" s="129"/>
      <c r="K308" s="129"/>
      <c r="L308" s="309"/>
    </row>
    <row r="309" spans="1:12" ht="24" hidden="1" x14ac:dyDescent="0.25">
      <c r="A309" s="127">
        <v>2</v>
      </c>
      <c r="B309" s="127">
        <v>1</v>
      </c>
      <c r="C309" s="127">
        <v>6</v>
      </c>
      <c r="D309" s="127">
        <v>4</v>
      </c>
      <c r="E309" s="127"/>
      <c r="F309" s="127" t="s">
        <v>350</v>
      </c>
      <c r="G309" s="127"/>
      <c r="H309" s="127"/>
      <c r="I309" s="127"/>
      <c r="J309" s="129"/>
      <c r="K309" s="129"/>
      <c r="L309" s="309"/>
    </row>
    <row r="310" spans="1:12" ht="24" x14ac:dyDescent="0.25">
      <c r="A310" s="127">
        <v>2</v>
      </c>
      <c r="B310" s="127">
        <v>1</v>
      </c>
      <c r="C310" s="127">
        <v>6</v>
      </c>
      <c r="D310" s="127">
        <v>5</v>
      </c>
      <c r="E310" s="127"/>
      <c r="F310" s="127" t="s">
        <v>351</v>
      </c>
      <c r="G310" s="129">
        <f>SUM(G311:G316)</f>
        <v>310862</v>
      </c>
      <c r="H310" s="129">
        <f t="shared" ref="H310:I310" si="25">SUM(H311:H316)</f>
        <v>592453</v>
      </c>
      <c r="I310" s="129">
        <f t="shared" si="25"/>
        <v>446063</v>
      </c>
      <c r="J310" s="129">
        <f>SUM(J311:J316)</f>
        <v>164472</v>
      </c>
      <c r="K310" s="129"/>
      <c r="L310" s="309"/>
    </row>
    <row r="311" spans="1:12" x14ac:dyDescent="0.25">
      <c r="A311" s="127"/>
      <c r="B311" s="127"/>
      <c r="C311" s="127"/>
      <c r="D311" s="127"/>
      <c r="E311" s="127"/>
      <c r="F311" s="127" t="s">
        <v>725</v>
      </c>
      <c r="G311" s="140">
        <v>0</v>
      </c>
      <c r="H311" s="140"/>
      <c r="I311" s="140"/>
      <c r="J311" s="129">
        <f t="shared" ref="J311:J316" si="26">+G311+I311-H311</f>
        <v>0</v>
      </c>
      <c r="K311" s="129"/>
      <c r="L311" s="309"/>
    </row>
    <row r="312" spans="1:12" x14ac:dyDescent="0.25">
      <c r="A312" s="127"/>
      <c r="B312" s="127"/>
      <c r="C312" s="127"/>
      <c r="D312" s="127"/>
      <c r="E312" s="127"/>
      <c r="F312" s="127" t="s">
        <v>730</v>
      </c>
      <c r="G312" s="140">
        <v>0</v>
      </c>
      <c r="H312" s="140">
        <f>49156+124791</f>
        <v>173947</v>
      </c>
      <c r="I312" s="140">
        <f>49156+124792+121825</f>
        <v>295773</v>
      </c>
      <c r="J312" s="129">
        <f t="shared" si="26"/>
        <v>121826</v>
      </c>
      <c r="K312" s="129"/>
      <c r="L312" s="309"/>
    </row>
    <row r="313" spans="1:12" x14ac:dyDescent="0.25">
      <c r="A313" s="127"/>
      <c r="B313" s="127"/>
      <c r="C313" s="127"/>
      <c r="D313" s="127"/>
      <c r="E313" s="127"/>
      <c r="F313" s="127" t="s">
        <v>726</v>
      </c>
      <c r="G313" s="140">
        <v>0</v>
      </c>
      <c r="H313" s="140">
        <f>8970+19226</f>
        <v>28196</v>
      </c>
      <c r="I313" s="140">
        <f>11048+19227+0</f>
        <v>30275</v>
      </c>
      <c r="J313" s="129">
        <f t="shared" si="26"/>
        <v>2079</v>
      </c>
      <c r="K313" s="129"/>
      <c r="L313" s="309"/>
    </row>
    <row r="314" spans="1:12" x14ac:dyDescent="0.25">
      <c r="A314" s="127"/>
      <c r="B314" s="127"/>
      <c r="C314" s="127"/>
      <c r="D314" s="127"/>
      <c r="E314" s="127"/>
      <c r="F314" s="127" t="s">
        <v>727</v>
      </c>
      <c r="G314" s="140">
        <v>0</v>
      </c>
      <c r="H314" s="140"/>
      <c r="I314" s="140"/>
      <c r="J314" s="129">
        <f t="shared" si="26"/>
        <v>0</v>
      </c>
      <c r="K314" s="129"/>
      <c r="L314" s="309"/>
    </row>
    <row r="315" spans="1:12" x14ac:dyDescent="0.25">
      <c r="A315" s="127"/>
      <c r="B315" s="127"/>
      <c r="C315" s="127"/>
      <c r="D315" s="127"/>
      <c r="E315" s="127"/>
      <c r="F315" s="127" t="s">
        <v>728</v>
      </c>
      <c r="G315" s="140">
        <v>205499</v>
      </c>
      <c r="H315" s="140">
        <f>172258+76621+1089+2</f>
        <v>249970</v>
      </c>
      <c r="I315" s="140">
        <f>22060+22411+22078</f>
        <v>66549</v>
      </c>
      <c r="J315" s="129">
        <f t="shared" si="26"/>
        <v>22078</v>
      </c>
      <c r="K315" s="129"/>
      <c r="L315" s="309"/>
    </row>
    <row r="316" spans="1:12" x14ac:dyDescent="0.25">
      <c r="A316" s="127"/>
      <c r="B316" s="127"/>
      <c r="C316" s="127"/>
      <c r="D316" s="127"/>
      <c r="E316" s="127"/>
      <c r="F316" s="127" t="s">
        <v>729</v>
      </c>
      <c r="G316" s="140">
        <v>105363</v>
      </c>
      <c r="H316" s="140">
        <f>108338+0+32002</f>
        <v>140340</v>
      </c>
      <c r="I316" s="140">
        <f>16487+18489+18489+1</f>
        <v>53466</v>
      </c>
      <c r="J316" s="129">
        <f t="shared" si="26"/>
        <v>18489</v>
      </c>
      <c r="K316" s="129"/>
      <c r="L316" s="309"/>
    </row>
    <row r="317" spans="1:12" x14ac:dyDescent="0.25">
      <c r="A317" s="127"/>
      <c r="B317" s="127"/>
      <c r="C317" s="127"/>
      <c r="D317" s="127"/>
      <c r="E317" s="127"/>
      <c r="F317" s="127" t="s">
        <v>844</v>
      </c>
      <c r="G317" s="140"/>
      <c r="H317" s="140"/>
      <c r="I317" s="140"/>
      <c r="J317" s="129"/>
      <c r="K317" s="129"/>
      <c r="L317" s="309"/>
    </row>
    <row r="318" spans="1:12" hidden="1" x14ac:dyDescent="0.25">
      <c r="A318" s="127">
        <v>2</v>
      </c>
      <c r="B318" s="127">
        <v>1</v>
      </c>
      <c r="C318" s="127">
        <v>6</v>
      </c>
      <c r="D318" s="127">
        <v>6</v>
      </c>
      <c r="E318" s="127"/>
      <c r="F318" s="127" t="s">
        <v>352</v>
      </c>
      <c r="G318" s="127"/>
      <c r="H318" s="127"/>
      <c r="I318" s="127"/>
      <c r="J318" s="129"/>
      <c r="K318" s="129"/>
      <c r="L318" s="309"/>
    </row>
    <row r="319" spans="1:12" hidden="1" x14ac:dyDescent="0.25">
      <c r="A319" s="127">
        <v>2</v>
      </c>
      <c r="B319" s="127">
        <v>1</v>
      </c>
      <c r="C319" s="127">
        <v>7</v>
      </c>
      <c r="D319" s="127"/>
      <c r="E319" s="127"/>
      <c r="F319" s="128" t="s">
        <v>112</v>
      </c>
      <c r="G319" s="128"/>
      <c r="H319" s="128"/>
      <c r="I319" s="128"/>
      <c r="J319" s="129"/>
      <c r="K319" s="129"/>
      <c r="L319" s="309"/>
    </row>
    <row r="320" spans="1:12" hidden="1" x14ac:dyDescent="0.25">
      <c r="A320" s="127">
        <v>2</v>
      </c>
      <c r="B320" s="127">
        <v>1</v>
      </c>
      <c r="C320" s="127">
        <v>7</v>
      </c>
      <c r="D320" s="127">
        <v>1</v>
      </c>
      <c r="E320" s="127"/>
      <c r="F320" s="127" t="s">
        <v>353</v>
      </c>
      <c r="G320" s="127"/>
      <c r="H320" s="127"/>
      <c r="I320" s="127"/>
      <c r="J320" s="129"/>
      <c r="K320" s="129"/>
      <c r="L320" s="309"/>
    </row>
    <row r="321" spans="1:12" hidden="1" x14ac:dyDescent="0.25">
      <c r="A321" s="127">
        <v>2</v>
      </c>
      <c r="B321" s="127">
        <v>1</v>
      </c>
      <c r="C321" s="127">
        <v>7</v>
      </c>
      <c r="D321" s="127">
        <v>2</v>
      </c>
      <c r="E321" s="127"/>
      <c r="F321" s="127" t="s">
        <v>354</v>
      </c>
      <c r="G321" s="127"/>
      <c r="H321" s="127"/>
      <c r="I321" s="127"/>
      <c r="J321" s="129"/>
      <c r="K321" s="129"/>
      <c r="L321" s="309"/>
    </row>
    <row r="322" spans="1:12" hidden="1" x14ac:dyDescent="0.25">
      <c r="A322" s="127">
        <v>2</v>
      </c>
      <c r="B322" s="127">
        <v>1</v>
      </c>
      <c r="C322" s="127">
        <v>7</v>
      </c>
      <c r="D322" s="127">
        <v>9</v>
      </c>
      <c r="E322" s="127"/>
      <c r="F322" s="127" t="s">
        <v>355</v>
      </c>
      <c r="G322" s="127"/>
      <c r="H322" s="127"/>
      <c r="I322" s="127"/>
      <c r="J322" s="129"/>
      <c r="K322" s="129"/>
      <c r="L322" s="309"/>
    </row>
    <row r="323" spans="1:12" hidden="1" x14ac:dyDescent="0.25">
      <c r="A323" s="127">
        <v>2</v>
      </c>
      <c r="B323" s="127">
        <v>1</v>
      </c>
      <c r="C323" s="127">
        <v>9</v>
      </c>
      <c r="D323" s="127"/>
      <c r="E323" s="127"/>
      <c r="F323" s="128" t="s">
        <v>113</v>
      </c>
      <c r="G323" s="128"/>
      <c r="H323" s="128"/>
      <c r="I323" s="128"/>
      <c r="J323" s="129"/>
      <c r="K323" s="129"/>
      <c r="L323" s="309"/>
    </row>
    <row r="324" spans="1:12" hidden="1" x14ac:dyDescent="0.25">
      <c r="A324" s="127">
        <v>2</v>
      </c>
      <c r="B324" s="127">
        <v>1</v>
      </c>
      <c r="C324" s="127">
        <v>9</v>
      </c>
      <c r="D324" s="127">
        <v>1</v>
      </c>
      <c r="E324" s="127"/>
      <c r="F324" s="127" t="s">
        <v>356</v>
      </c>
      <c r="G324" s="127"/>
      <c r="H324" s="127"/>
      <c r="I324" s="127"/>
      <c r="J324" s="129"/>
      <c r="K324" s="129"/>
      <c r="L324" s="309"/>
    </row>
    <row r="325" spans="1:12" hidden="1" x14ac:dyDescent="0.25">
      <c r="A325" s="127">
        <v>2</v>
      </c>
      <c r="B325" s="127">
        <v>1</v>
      </c>
      <c r="C325" s="127">
        <v>9</v>
      </c>
      <c r="D325" s="127">
        <v>2</v>
      </c>
      <c r="E325" s="127"/>
      <c r="F325" s="127" t="s">
        <v>357</v>
      </c>
      <c r="G325" s="127"/>
      <c r="H325" s="127"/>
      <c r="I325" s="127"/>
      <c r="J325" s="129"/>
      <c r="K325" s="129"/>
      <c r="L325" s="309"/>
    </row>
    <row r="326" spans="1:12" hidden="1" x14ac:dyDescent="0.25">
      <c r="A326" s="127">
        <v>2</v>
      </c>
      <c r="B326" s="127">
        <v>1</v>
      </c>
      <c r="C326" s="127">
        <v>9</v>
      </c>
      <c r="D326" s="127">
        <v>9</v>
      </c>
      <c r="E326" s="127"/>
      <c r="F326" s="127" t="s">
        <v>358</v>
      </c>
      <c r="G326" s="127"/>
      <c r="H326" s="127"/>
      <c r="I326" s="127"/>
      <c r="J326" s="129"/>
      <c r="K326" s="129"/>
      <c r="L326" s="309"/>
    </row>
    <row r="327" spans="1:12" hidden="1" x14ac:dyDescent="0.25">
      <c r="A327" s="125">
        <v>2</v>
      </c>
      <c r="B327" s="125">
        <v>2</v>
      </c>
      <c r="C327" s="125"/>
      <c r="D327" s="125"/>
      <c r="E327" s="125"/>
      <c r="F327" s="126" t="s">
        <v>359</v>
      </c>
      <c r="G327" s="126"/>
      <c r="H327" s="126"/>
      <c r="I327" s="126"/>
      <c r="J327" s="129"/>
      <c r="K327" s="129"/>
      <c r="L327" s="309"/>
    </row>
    <row r="328" spans="1:12" hidden="1" x14ac:dyDescent="0.25">
      <c r="A328" s="127">
        <v>2</v>
      </c>
      <c r="B328" s="127">
        <v>2</v>
      </c>
      <c r="C328" s="127">
        <v>1</v>
      </c>
      <c r="D328" s="127"/>
      <c r="E328" s="127"/>
      <c r="F328" s="128" t="s">
        <v>119</v>
      </c>
      <c r="G328" s="128"/>
      <c r="H328" s="128"/>
      <c r="I328" s="128"/>
      <c r="J328" s="129"/>
      <c r="K328" s="129"/>
      <c r="L328" s="309"/>
    </row>
    <row r="329" spans="1:12" hidden="1" x14ac:dyDescent="0.25">
      <c r="A329" s="127">
        <v>2</v>
      </c>
      <c r="B329" s="127">
        <v>2</v>
      </c>
      <c r="C329" s="127">
        <v>1</v>
      </c>
      <c r="D329" s="127">
        <v>1</v>
      </c>
      <c r="E329" s="127"/>
      <c r="F329" s="127" t="s">
        <v>360</v>
      </c>
      <c r="G329" s="127"/>
      <c r="H329" s="127"/>
      <c r="I329" s="127"/>
      <c r="J329" s="129"/>
      <c r="K329" s="129"/>
      <c r="L329" s="309"/>
    </row>
    <row r="330" spans="1:12" ht="24" hidden="1" x14ac:dyDescent="0.25">
      <c r="A330" s="127">
        <v>2</v>
      </c>
      <c r="B330" s="127">
        <v>2</v>
      </c>
      <c r="C330" s="127">
        <v>1</v>
      </c>
      <c r="D330" s="127">
        <v>2</v>
      </c>
      <c r="E330" s="127"/>
      <c r="F330" s="127" t="s">
        <v>361</v>
      </c>
      <c r="G330" s="127"/>
      <c r="H330" s="127"/>
      <c r="I330" s="127"/>
      <c r="J330" s="129"/>
      <c r="K330" s="129"/>
      <c r="L330" s="309"/>
    </row>
    <row r="331" spans="1:12" hidden="1" x14ac:dyDescent="0.25">
      <c r="A331" s="127">
        <v>2</v>
      </c>
      <c r="B331" s="127">
        <v>2</v>
      </c>
      <c r="C331" s="127">
        <v>2</v>
      </c>
      <c r="D331" s="127"/>
      <c r="E331" s="127"/>
      <c r="F331" s="128" t="s">
        <v>121</v>
      </c>
      <c r="G331" s="128"/>
      <c r="H331" s="128"/>
      <c r="I331" s="128"/>
      <c r="J331" s="129"/>
      <c r="K331" s="129"/>
      <c r="L331" s="309"/>
    </row>
    <row r="332" spans="1:12" hidden="1" x14ac:dyDescent="0.25">
      <c r="A332" s="127">
        <v>2</v>
      </c>
      <c r="B332" s="127">
        <v>2</v>
      </c>
      <c r="C332" s="127">
        <v>2</v>
      </c>
      <c r="D332" s="127">
        <v>1</v>
      </c>
      <c r="E332" s="127"/>
      <c r="F332" s="127" t="s">
        <v>362</v>
      </c>
      <c r="G332" s="127"/>
      <c r="H332" s="127"/>
      <c r="I332" s="127"/>
      <c r="J332" s="129"/>
      <c r="K332" s="129"/>
      <c r="L332" s="309"/>
    </row>
    <row r="333" spans="1:12" ht="24" hidden="1" x14ac:dyDescent="0.25">
      <c r="A333" s="127">
        <v>2</v>
      </c>
      <c r="B333" s="127">
        <v>2</v>
      </c>
      <c r="C333" s="127">
        <v>2</v>
      </c>
      <c r="D333" s="127">
        <v>2</v>
      </c>
      <c r="E333" s="127"/>
      <c r="F333" s="127" t="s">
        <v>363</v>
      </c>
      <c r="G333" s="127"/>
      <c r="H333" s="127"/>
      <c r="I333" s="127"/>
      <c r="J333" s="129"/>
      <c r="K333" s="129"/>
      <c r="L333" s="309"/>
    </row>
    <row r="334" spans="1:12" hidden="1" x14ac:dyDescent="0.25">
      <c r="A334" s="127">
        <v>2</v>
      </c>
      <c r="B334" s="127">
        <v>2</v>
      </c>
      <c r="C334" s="127">
        <v>2</v>
      </c>
      <c r="D334" s="127">
        <v>9</v>
      </c>
      <c r="E334" s="127"/>
      <c r="F334" s="127" t="s">
        <v>364</v>
      </c>
      <c r="G334" s="127"/>
      <c r="H334" s="127"/>
      <c r="I334" s="127"/>
      <c r="J334" s="129"/>
      <c r="K334" s="129"/>
      <c r="L334" s="309"/>
    </row>
    <row r="335" spans="1:12" hidden="1" x14ac:dyDescent="0.25">
      <c r="A335" s="127">
        <v>2</v>
      </c>
      <c r="B335" s="127">
        <v>2</v>
      </c>
      <c r="C335" s="127">
        <v>3</v>
      </c>
      <c r="D335" s="127"/>
      <c r="E335" s="127"/>
      <c r="F335" s="128" t="s">
        <v>123</v>
      </c>
      <c r="G335" s="128"/>
      <c r="H335" s="128"/>
      <c r="I335" s="128"/>
      <c r="J335" s="129"/>
      <c r="K335" s="129"/>
      <c r="L335" s="309"/>
    </row>
    <row r="336" spans="1:12" ht="24" hidden="1" x14ac:dyDescent="0.25">
      <c r="A336" s="127">
        <v>2</v>
      </c>
      <c r="B336" s="127">
        <v>2</v>
      </c>
      <c r="C336" s="127">
        <v>3</v>
      </c>
      <c r="D336" s="127">
        <v>1</v>
      </c>
      <c r="E336" s="127"/>
      <c r="F336" s="127" t="s">
        <v>365</v>
      </c>
      <c r="G336" s="127"/>
      <c r="H336" s="127"/>
      <c r="I336" s="127"/>
      <c r="J336" s="129"/>
      <c r="K336" s="129"/>
      <c r="L336" s="309"/>
    </row>
    <row r="337" spans="1:12" ht="24" hidden="1" x14ac:dyDescent="0.25">
      <c r="A337" s="127">
        <v>2</v>
      </c>
      <c r="B337" s="127">
        <v>2</v>
      </c>
      <c r="C337" s="127">
        <v>3</v>
      </c>
      <c r="D337" s="127">
        <v>2</v>
      </c>
      <c r="E337" s="127"/>
      <c r="F337" s="127" t="s">
        <v>366</v>
      </c>
      <c r="G337" s="127"/>
      <c r="H337" s="127"/>
      <c r="I337" s="127"/>
      <c r="J337" s="129"/>
      <c r="K337" s="129"/>
      <c r="L337" s="309"/>
    </row>
    <row r="338" spans="1:12" ht="24" hidden="1" x14ac:dyDescent="0.25">
      <c r="A338" s="127">
        <v>2</v>
      </c>
      <c r="B338" s="127">
        <v>2</v>
      </c>
      <c r="C338" s="127">
        <v>3</v>
      </c>
      <c r="D338" s="127">
        <v>3</v>
      </c>
      <c r="E338" s="127"/>
      <c r="F338" s="127" t="s">
        <v>367</v>
      </c>
      <c r="G338" s="127"/>
      <c r="H338" s="127"/>
      <c r="I338" s="127"/>
      <c r="J338" s="129"/>
      <c r="K338" s="129"/>
      <c r="L338" s="309"/>
    </row>
    <row r="339" spans="1:12" ht="24" hidden="1" x14ac:dyDescent="0.25">
      <c r="A339" s="127">
        <v>2</v>
      </c>
      <c r="B339" s="127">
        <v>2</v>
      </c>
      <c r="C339" s="127">
        <v>3</v>
      </c>
      <c r="D339" s="127">
        <v>4</v>
      </c>
      <c r="E339" s="127"/>
      <c r="F339" s="127" t="s">
        <v>368</v>
      </c>
      <c r="G339" s="127"/>
      <c r="H339" s="127"/>
      <c r="I339" s="127"/>
      <c r="J339" s="129"/>
      <c r="K339" s="129"/>
      <c r="L339" s="309"/>
    </row>
    <row r="340" spans="1:12" hidden="1" x14ac:dyDescent="0.25">
      <c r="A340" s="127">
        <v>2</v>
      </c>
      <c r="B340" s="127">
        <v>2</v>
      </c>
      <c r="C340" s="127">
        <v>3</v>
      </c>
      <c r="D340" s="127">
        <v>5</v>
      </c>
      <c r="E340" s="127"/>
      <c r="F340" s="127" t="s">
        <v>369</v>
      </c>
      <c r="G340" s="127"/>
      <c r="H340" s="127"/>
      <c r="I340" s="127"/>
      <c r="J340" s="129"/>
      <c r="K340" s="129"/>
      <c r="L340" s="309"/>
    </row>
    <row r="341" spans="1:12" hidden="1" x14ac:dyDescent="0.25">
      <c r="A341" s="127">
        <v>2</v>
      </c>
      <c r="B341" s="127">
        <v>2</v>
      </c>
      <c r="C341" s="127">
        <v>4</v>
      </c>
      <c r="D341" s="127"/>
      <c r="E341" s="127"/>
      <c r="F341" s="128" t="s">
        <v>125</v>
      </c>
      <c r="G341" s="128"/>
      <c r="H341" s="128"/>
      <c r="I341" s="128"/>
      <c r="J341" s="129"/>
      <c r="K341" s="129"/>
      <c r="L341" s="309"/>
    </row>
    <row r="342" spans="1:12" hidden="1" x14ac:dyDescent="0.25">
      <c r="A342" s="127">
        <v>2</v>
      </c>
      <c r="B342" s="127">
        <v>2</v>
      </c>
      <c r="C342" s="127">
        <v>4</v>
      </c>
      <c r="D342" s="127">
        <v>1</v>
      </c>
      <c r="E342" s="127"/>
      <c r="F342" s="127" t="s">
        <v>370</v>
      </c>
      <c r="G342" s="127"/>
      <c r="H342" s="127"/>
      <c r="I342" s="127"/>
      <c r="J342" s="129"/>
      <c r="K342" s="129"/>
      <c r="L342" s="309"/>
    </row>
    <row r="343" spans="1:12" hidden="1" x14ac:dyDescent="0.25">
      <c r="A343" s="127">
        <v>2</v>
      </c>
      <c r="B343" s="127">
        <v>2</v>
      </c>
      <c r="C343" s="127">
        <v>4</v>
      </c>
      <c r="D343" s="127">
        <v>2</v>
      </c>
      <c r="E343" s="127"/>
      <c r="F343" s="127" t="s">
        <v>371</v>
      </c>
      <c r="G343" s="127"/>
      <c r="H343" s="127"/>
      <c r="I343" s="127"/>
      <c r="J343" s="129"/>
      <c r="K343" s="129"/>
      <c r="L343" s="309"/>
    </row>
    <row r="344" spans="1:12" hidden="1" x14ac:dyDescent="0.25">
      <c r="A344" s="127">
        <v>2</v>
      </c>
      <c r="B344" s="127">
        <v>2</v>
      </c>
      <c r="C344" s="127">
        <v>4</v>
      </c>
      <c r="D344" s="127">
        <v>9</v>
      </c>
      <c r="E344" s="127"/>
      <c r="F344" s="127" t="s">
        <v>372</v>
      </c>
      <c r="G344" s="127"/>
      <c r="H344" s="127"/>
      <c r="I344" s="127"/>
      <c r="J344" s="129"/>
      <c r="K344" s="129"/>
      <c r="L344" s="309"/>
    </row>
    <row r="345" spans="1:12" ht="24" hidden="1" x14ac:dyDescent="0.25">
      <c r="A345" s="127">
        <v>2</v>
      </c>
      <c r="B345" s="127">
        <v>2</v>
      </c>
      <c r="C345" s="127">
        <v>5</v>
      </c>
      <c r="D345" s="127"/>
      <c r="E345" s="127"/>
      <c r="F345" s="128" t="s">
        <v>373</v>
      </c>
      <c r="G345" s="128"/>
      <c r="H345" s="128"/>
      <c r="I345" s="128"/>
      <c r="J345" s="129"/>
      <c r="K345" s="129"/>
      <c r="L345" s="309"/>
    </row>
    <row r="346" spans="1:12" hidden="1" x14ac:dyDescent="0.25">
      <c r="A346" s="127">
        <v>2</v>
      </c>
      <c r="B346" s="127">
        <v>2</v>
      </c>
      <c r="C346" s="127">
        <v>5</v>
      </c>
      <c r="D346" s="127">
        <v>1</v>
      </c>
      <c r="E346" s="127"/>
      <c r="F346" s="127" t="s">
        <v>374</v>
      </c>
      <c r="G346" s="127"/>
      <c r="H346" s="127"/>
      <c r="I346" s="127"/>
      <c r="J346" s="129"/>
      <c r="K346" s="129"/>
      <c r="L346" s="309"/>
    </row>
    <row r="347" spans="1:12" hidden="1" x14ac:dyDescent="0.25">
      <c r="A347" s="127">
        <v>2</v>
      </c>
      <c r="B347" s="127">
        <v>2</v>
      </c>
      <c r="C347" s="127">
        <v>5</v>
      </c>
      <c r="D347" s="127">
        <v>2</v>
      </c>
      <c r="E347" s="127"/>
      <c r="F347" s="127" t="s">
        <v>375</v>
      </c>
      <c r="G347" s="127"/>
      <c r="H347" s="127"/>
      <c r="I347" s="127"/>
      <c r="J347" s="129"/>
      <c r="K347" s="129"/>
      <c r="L347" s="309"/>
    </row>
    <row r="348" spans="1:12" hidden="1" x14ac:dyDescent="0.25">
      <c r="A348" s="127">
        <v>2</v>
      </c>
      <c r="B348" s="127">
        <v>2</v>
      </c>
      <c r="C348" s="127">
        <v>5</v>
      </c>
      <c r="D348" s="127">
        <v>3</v>
      </c>
      <c r="E348" s="127"/>
      <c r="F348" s="127" t="s">
        <v>376</v>
      </c>
      <c r="G348" s="127"/>
      <c r="H348" s="127"/>
      <c r="I348" s="127"/>
      <c r="J348" s="129"/>
      <c r="K348" s="129"/>
      <c r="L348" s="309"/>
    </row>
    <row r="349" spans="1:12" ht="24" hidden="1" x14ac:dyDescent="0.25">
      <c r="A349" s="127">
        <v>2</v>
      </c>
      <c r="B349" s="127">
        <v>2</v>
      </c>
      <c r="C349" s="127">
        <v>5</v>
      </c>
      <c r="D349" s="127">
        <v>4</v>
      </c>
      <c r="E349" s="127"/>
      <c r="F349" s="127" t="s">
        <v>377</v>
      </c>
      <c r="G349" s="127"/>
      <c r="H349" s="127"/>
      <c r="I349" s="127"/>
      <c r="J349" s="129"/>
      <c r="K349" s="129"/>
      <c r="L349" s="309"/>
    </row>
    <row r="350" spans="1:12" ht="24" hidden="1" x14ac:dyDescent="0.25">
      <c r="A350" s="127">
        <v>2</v>
      </c>
      <c r="B350" s="127">
        <v>2</v>
      </c>
      <c r="C350" s="127">
        <v>5</v>
      </c>
      <c r="D350" s="127">
        <v>5</v>
      </c>
      <c r="E350" s="127"/>
      <c r="F350" s="127" t="s">
        <v>378</v>
      </c>
      <c r="G350" s="127"/>
      <c r="H350" s="127"/>
      <c r="I350" s="127"/>
      <c r="J350" s="129"/>
      <c r="K350" s="129"/>
      <c r="L350" s="309"/>
    </row>
    <row r="351" spans="1:12" hidden="1" x14ac:dyDescent="0.25">
      <c r="A351" s="127">
        <v>2</v>
      </c>
      <c r="B351" s="127">
        <v>2</v>
      </c>
      <c r="C351" s="127">
        <v>5</v>
      </c>
      <c r="D351" s="127">
        <v>6</v>
      </c>
      <c r="E351" s="127"/>
      <c r="F351" s="127" t="s">
        <v>379</v>
      </c>
      <c r="G351" s="127"/>
      <c r="H351" s="127"/>
      <c r="I351" s="127"/>
      <c r="J351" s="129"/>
      <c r="K351" s="129"/>
      <c r="L351" s="309"/>
    </row>
    <row r="352" spans="1:12" hidden="1" x14ac:dyDescent="0.25">
      <c r="A352" s="127">
        <v>2</v>
      </c>
      <c r="B352" s="127">
        <v>2</v>
      </c>
      <c r="C352" s="127">
        <v>6</v>
      </c>
      <c r="D352" s="127"/>
      <c r="E352" s="127"/>
      <c r="F352" s="128" t="s">
        <v>380</v>
      </c>
      <c r="G352" s="128"/>
      <c r="H352" s="128"/>
      <c r="I352" s="128"/>
      <c r="J352" s="129"/>
      <c r="K352" s="129"/>
      <c r="L352" s="309"/>
    </row>
    <row r="353" spans="1:12" hidden="1" x14ac:dyDescent="0.25">
      <c r="A353" s="127">
        <v>2</v>
      </c>
      <c r="B353" s="127">
        <v>2</v>
      </c>
      <c r="C353" s="127">
        <v>6</v>
      </c>
      <c r="D353" s="127">
        <v>1</v>
      </c>
      <c r="E353" s="127"/>
      <c r="F353" s="127" t="s">
        <v>381</v>
      </c>
      <c r="G353" s="127"/>
      <c r="H353" s="127"/>
      <c r="I353" s="127"/>
      <c r="J353" s="129"/>
      <c r="K353" s="129"/>
      <c r="L353" s="309"/>
    </row>
    <row r="354" spans="1:12" hidden="1" x14ac:dyDescent="0.25">
      <c r="A354" s="127">
        <v>2</v>
      </c>
      <c r="B354" s="127">
        <v>2</v>
      </c>
      <c r="C354" s="127">
        <v>6</v>
      </c>
      <c r="D354" s="127">
        <v>2</v>
      </c>
      <c r="E354" s="127"/>
      <c r="F354" s="127" t="s">
        <v>382</v>
      </c>
      <c r="G354" s="127"/>
      <c r="H354" s="127"/>
      <c r="I354" s="127"/>
      <c r="J354" s="129"/>
      <c r="K354" s="129"/>
      <c r="L354" s="309"/>
    </row>
    <row r="355" spans="1:12" hidden="1" x14ac:dyDescent="0.25">
      <c r="A355" s="127">
        <v>2</v>
      </c>
      <c r="B355" s="127">
        <v>2</v>
      </c>
      <c r="C355" s="127">
        <v>6</v>
      </c>
      <c r="D355" s="127">
        <v>3</v>
      </c>
      <c r="E355" s="127"/>
      <c r="F355" s="127" t="s">
        <v>383</v>
      </c>
      <c r="G355" s="127"/>
      <c r="H355" s="127"/>
      <c r="I355" s="127"/>
      <c r="J355" s="129"/>
      <c r="K355" s="129"/>
      <c r="L355" s="309"/>
    </row>
    <row r="356" spans="1:12" hidden="1" x14ac:dyDescent="0.25">
      <c r="A356" s="127">
        <v>2</v>
      </c>
      <c r="B356" s="127">
        <v>2</v>
      </c>
      <c r="C356" s="127">
        <v>6</v>
      </c>
      <c r="D356" s="127">
        <v>9</v>
      </c>
      <c r="E356" s="127"/>
      <c r="F356" s="127" t="s">
        <v>384</v>
      </c>
      <c r="G356" s="127"/>
      <c r="H356" s="127"/>
      <c r="I356" s="127"/>
      <c r="J356" s="129"/>
      <c r="K356" s="129"/>
      <c r="L356" s="309"/>
    </row>
    <row r="357" spans="1:12" x14ac:dyDescent="0.25">
      <c r="A357" s="125">
        <v>3</v>
      </c>
      <c r="B357" s="125"/>
      <c r="C357" s="125"/>
      <c r="D357" s="125"/>
      <c r="E357" s="125"/>
      <c r="F357" s="125" t="s">
        <v>385</v>
      </c>
      <c r="G357" s="151">
        <f>+G358+G362+G392</f>
        <v>3095633.82</v>
      </c>
      <c r="H357" s="151">
        <f t="shared" ref="H357:J357" si="27">+H358+H362+H392</f>
        <v>0</v>
      </c>
      <c r="I357" s="151">
        <f t="shared" si="27"/>
        <v>0</v>
      </c>
      <c r="J357" s="151">
        <f t="shared" si="27"/>
        <v>3095633.82</v>
      </c>
      <c r="K357" s="151"/>
      <c r="L357" s="309"/>
    </row>
    <row r="358" spans="1:12" x14ac:dyDescent="0.25">
      <c r="A358" s="126">
        <v>3</v>
      </c>
      <c r="B358" s="126">
        <v>1</v>
      </c>
      <c r="C358" s="126"/>
      <c r="D358" s="126"/>
      <c r="E358" s="126"/>
      <c r="F358" s="126" t="s">
        <v>386</v>
      </c>
      <c r="G358" s="130">
        <v>0</v>
      </c>
      <c r="H358" s="126"/>
      <c r="I358" s="126"/>
      <c r="J358" s="129"/>
      <c r="K358" s="129"/>
      <c r="L358" s="309"/>
    </row>
    <row r="359" spans="1:12" x14ac:dyDescent="0.25">
      <c r="A359" s="127">
        <v>3</v>
      </c>
      <c r="B359" s="127">
        <v>1</v>
      </c>
      <c r="C359" s="127">
        <v>1</v>
      </c>
      <c r="D359" s="127"/>
      <c r="E359" s="127"/>
      <c r="F359" s="128" t="s">
        <v>76</v>
      </c>
      <c r="G359" s="128"/>
      <c r="H359" s="128"/>
      <c r="I359" s="128"/>
      <c r="J359" s="129"/>
      <c r="K359" s="129"/>
      <c r="L359" s="309"/>
    </row>
    <row r="360" spans="1:12" x14ac:dyDescent="0.25">
      <c r="A360" s="127">
        <v>3</v>
      </c>
      <c r="B360" s="127">
        <v>1</v>
      </c>
      <c r="C360" s="127">
        <v>2</v>
      </c>
      <c r="D360" s="127"/>
      <c r="E360" s="127"/>
      <c r="F360" s="128" t="s">
        <v>139</v>
      </c>
      <c r="G360" s="128"/>
      <c r="H360" s="128"/>
      <c r="I360" s="128"/>
      <c r="J360" s="129"/>
      <c r="K360" s="129"/>
      <c r="L360" s="309"/>
    </row>
    <row r="361" spans="1:12" x14ac:dyDescent="0.25">
      <c r="A361" s="127">
        <v>3</v>
      </c>
      <c r="B361" s="127">
        <v>1</v>
      </c>
      <c r="C361" s="127">
        <v>3</v>
      </c>
      <c r="D361" s="127"/>
      <c r="E361" s="127"/>
      <c r="F361" s="128" t="s">
        <v>203</v>
      </c>
      <c r="G361" s="128"/>
      <c r="H361" s="128"/>
      <c r="I361" s="128"/>
      <c r="J361" s="129"/>
      <c r="K361" s="129"/>
      <c r="L361" s="309"/>
    </row>
    <row r="362" spans="1:12" x14ac:dyDescent="0.25">
      <c r="A362" s="126">
        <v>3</v>
      </c>
      <c r="B362" s="126">
        <v>2</v>
      </c>
      <c r="C362" s="126"/>
      <c r="D362" s="126"/>
      <c r="E362" s="126"/>
      <c r="F362" s="126" t="s">
        <v>387</v>
      </c>
      <c r="G362" s="150">
        <f>+G363+G364</f>
        <v>-290674.18</v>
      </c>
      <c r="H362" s="150">
        <f t="shared" ref="H362:J362" si="28">+H363+H364</f>
        <v>0</v>
      </c>
      <c r="I362" s="150">
        <f t="shared" si="28"/>
        <v>0</v>
      </c>
      <c r="J362" s="150">
        <f t="shared" si="28"/>
        <v>-290674.18</v>
      </c>
      <c r="K362" s="150"/>
      <c r="L362" s="309"/>
    </row>
    <row r="363" spans="1:12" x14ac:dyDescent="0.25">
      <c r="A363" s="127">
        <v>3</v>
      </c>
      <c r="B363" s="127">
        <v>2</v>
      </c>
      <c r="C363" s="127">
        <v>1</v>
      </c>
      <c r="D363" s="127"/>
      <c r="E363" s="127"/>
      <c r="F363" s="128" t="s">
        <v>388</v>
      </c>
      <c r="G363" s="129"/>
      <c r="H363" s="128"/>
      <c r="I363" s="128"/>
      <c r="J363" s="129"/>
      <c r="K363" s="129"/>
      <c r="L363" s="309"/>
    </row>
    <row r="364" spans="1:12" x14ac:dyDescent="0.25">
      <c r="A364" s="132">
        <v>3</v>
      </c>
      <c r="B364" s="132">
        <v>2</v>
      </c>
      <c r="C364" s="132">
        <v>2</v>
      </c>
      <c r="D364" s="132"/>
      <c r="E364" s="132"/>
      <c r="F364" s="135" t="s">
        <v>143</v>
      </c>
      <c r="G364" s="131">
        <f>SUM(G365:G379)</f>
        <v>-290674.18</v>
      </c>
      <c r="H364" s="131">
        <f t="shared" ref="H364:K364" si="29">SUM(H365:H378)</f>
        <v>0</v>
      </c>
      <c r="I364" s="131">
        <f t="shared" si="29"/>
        <v>0</v>
      </c>
      <c r="J364" s="131">
        <f>SUM(J365:J379)</f>
        <v>-290674.18</v>
      </c>
      <c r="K364" s="131">
        <f t="shared" si="29"/>
        <v>0</v>
      </c>
      <c r="L364" s="309"/>
    </row>
    <row r="365" spans="1:12" x14ac:dyDescent="0.25">
      <c r="A365" s="127"/>
      <c r="B365" s="127"/>
      <c r="C365" s="127"/>
      <c r="D365" s="127"/>
      <c r="E365" s="127"/>
      <c r="F365" s="127" t="s">
        <v>731</v>
      </c>
      <c r="G365" s="129">
        <v>171921</v>
      </c>
      <c r="H365" s="140">
        <v>0</v>
      </c>
      <c r="I365" s="140">
        <v>0</v>
      </c>
      <c r="J365" s="129">
        <f>G365+I365-H365</f>
        <v>171921</v>
      </c>
      <c r="K365" s="129"/>
      <c r="L365" s="309"/>
    </row>
    <row r="366" spans="1:12" x14ac:dyDescent="0.25">
      <c r="A366" s="127"/>
      <c r="B366" s="127"/>
      <c r="C366" s="127"/>
      <c r="D366" s="127"/>
      <c r="E366" s="127"/>
      <c r="F366" s="127" t="s">
        <v>731</v>
      </c>
      <c r="G366" s="129">
        <v>-15244</v>
      </c>
      <c r="H366" s="140">
        <v>0</v>
      </c>
      <c r="I366" s="140">
        <v>0</v>
      </c>
      <c r="J366" s="129">
        <f t="shared" ref="J366:J379" si="30">G366+I366-H366</f>
        <v>-15244</v>
      </c>
      <c r="K366" s="129"/>
      <c r="L366" s="309"/>
    </row>
    <row r="367" spans="1:12" x14ac:dyDescent="0.25">
      <c r="A367" s="127"/>
      <c r="B367" s="127"/>
      <c r="C367" s="127"/>
      <c r="D367" s="127"/>
      <c r="E367" s="127"/>
      <c r="F367" s="127" t="s">
        <v>731</v>
      </c>
      <c r="G367" s="129">
        <v>167705</v>
      </c>
      <c r="H367" s="140">
        <v>0</v>
      </c>
      <c r="I367" s="140">
        <v>0</v>
      </c>
      <c r="J367" s="129">
        <f t="shared" si="30"/>
        <v>167705</v>
      </c>
      <c r="K367" s="129"/>
      <c r="L367" s="309"/>
    </row>
    <row r="368" spans="1:12" x14ac:dyDescent="0.25">
      <c r="A368" s="127"/>
      <c r="B368" s="127"/>
      <c r="C368" s="127"/>
      <c r="D368" s="127"/>
      <c r="E368" s="127"/>
      <c r="F368" s="127" t="s">
        <v>732</v>
      </c>
      <c r="G368" s="129">
        <v>1158011</v>
      </c>
      <c r="H368" s="140">
        <v>0</v>
      </c>
      <c r="I368" s="140">
        <v>0</v>
      </c>
      <c r="J368" s="129">
        <f t="shared" si="30"/>
        <v>1158011</v>
      </c>
      <c r="K368" s="129"/>
      <c r="L368" s="309"/>
    </row>
    <row r="369" spans="1:12" x14ac:dyDescent="0.25">
      <c r="A369" s="127"/>
      <c r="B369" s="127"/>
      <c r="C369" s="127"/>
      <c r="D369" s="127"/>
      <c r="E369" s="127"/>
      <c r="F369" s="127" t="s">
        <v>733</v>
      </c>
      <c r="G369" s="129">
        <v>51255</v>
      </c>
      <c r="H369" s="140">
        <v>0</v>
      </c>
      <c r="I369" s="140">
        <v>0</v>
      </c>
      <c r="J369" s="129">
        <f t="shared" si="30"/>
        <v>51255</v>
      </c>
      <c r="K369" s="129"/>
      <c r="L369" s="309"/>
    </row>
    <row r="370" spans="1:12" x14ac:dyDescent="0.25">
      <c r="A370" s="127"/>
      <c r="B370" s="127"/>
      <c r="C370" s="127"/>
      <c r="D370" s="127"/>
      <c r="E370" s="127"/>
      <c r="F370" s="127" t="s">
        <v>734</v>
      </c>
      <c r="G370" s="129">
        <v>133876</v>
      </c>
      <c r="H370" s="140">
        <v>0</v>
      </c>
      <c r="I370" s="140">
        <v>0</v>
      </c>
      <c r="J370" s="129">
        <f t="shared" si="30"/>
        <v>133876</v>
      </c>
      <c r="K370" s="129"/>
      <c r="L370" s="309"/>
    </row>
    <row r="371" spans="1:12" x14ac:dyDescent="0.25">
      <c r="A371" s="127"/>
      <c r="B371" s="127"/>
      <c r="C371" s="127"/>
      <c r="D371" s="127"/>
      <c r="E371" s="127"/>
      <c r="F371" s="127" t="s">
        <v>735</v>
      </c>
      <c r="G371" s="129">
        <v>242881</v>
      </c>
      <c r="H371" s="140">
        <v>0</v>
      </c>
      <c r="I371" s="140">
        <v>0</v>
      </c>
      <c r="J371" s="129">
        <f t="shared" si="30"/>
        <v>242881</v>
      </c>
      <c r="K371" s="129"/>
      <c r="L371" s="309"/>
    </row>
    <row r="372" spans="1:12" x14ac:dyDescent="0.25">
      <c r="A372" s="127"/>
      <c r="B372" s="127"/>
      <c r="C372" s="127"/>
      <c r="D372" s="127"/>
      <c r="E372" s="127"/>
      <c r="F372" s="127" t="s">
        <v>736</v>
      </c>
      <c r="G372" s="129">
        <v>-787864</v>
      </c>
      <c r="H372" s="140">
        <v>0</v>
      </c>
      <c r="I372" s="140">
        <v>0</v>
      </c>
      <c r="J372" s="129">
        <f t="shared" si="30"/>
        <v>-787864</v>
      </c>
      <c r="K372" s="129"/>
      <c r="L372" s="309"/>
    </row>
    <row r="373" spans="1:12" x14ac:dyDescent="0.25">
      <c r="A373" s="127"/>
      <c r="B373" s="127"/>
      <c r="C373" s="127"/>
      <c r="D373" s="127"/>
      <c r="E373" s="127"/>
      <c r="F373" s="127" t="s">
        <v>737</v>
      </c>
      <c r="G373" s="129">
        <v>-398698</v>
      </c>
      <c r="H373" s="140">
        <v>0</v>
      </c>
      <c r="I373" s="140">
        <v>0</v>
      </c>
      <c r="J373" s="129">
        <f t="shared" si="30"/>
        <v>-398698</v>
      </c>
      <c r="K373" s="129"/>
      <c r="L373" s="309"/>
    </row>
    <row r="374" spans="1:12" x14ac:dyDescent="0.25">
      <c r="A374" s="127"/>
      <c r="B374" s="127"/>
      <c r="C374" s="127"/>
      <c r="D374" s="127"/>
      <c r="E374" s="127"/>
      <c r="F374" s="127" t="s">
        <v>738</v>
      </c>
      <c r="G374" s="129">
        <v>-110260</v>
      </c>
      <c r="H374" s="140">
        <v>0</v>
      </c>
      <c r="I374" s="140">
        <v>0</v>
      </c>
      <c r="J374" s="129">
        <f t="shared" si="30"/>
        <v>-110260</v>
      </c>
      <c r="K374" s="129"/>
      <c r="L374" s="309"/>
    </row>
    <row r="375" spans="1:12" x14ac:dyDescent="0.25">
      <c r="A375" s="127"/>
      <c r="B375" s="127"/>
      <c r="C375" s="127"/>
      <c r="D375" s="127"/>
      <c r="E375" s="127"/>
      <c r="F375" s="127" t="s">
        <v>739</v>
      </c>
      <c r="G375" s="129">
        <v>-310978</v>
      </c>
      <c r="H375" s="140">
        <v>0</v>
      </c>
      <c r="I375" s="140">
        <v>0</v>
      </c>
      <c r="J375" s="129">
        <f t="shared" si="30"/>
        <v>-310978</v>
      </c>
      <c r="K375" s="129"/>
      <c r="L375" s="309"/>
    </row>
    <row r="376" spans="1:12" x14ac:dyDescent="0.25">
      <c r="A376" s="127"/>
      <c r="B376" s="127"/>
      <c r="C376" s="127"/>
      <c r="D376" s="127"/>
      <c r="E376" s="127"/>
      <c r="F376" s="127" t="s">
        <v>740</v>
      </c>
      <c r="G376" s="129">
        <v>-36870.18</v>
      </c>
      <c r="H376" s="140">
        <v>0</v>
      </c>
      <c r="I376" s="140">
        <v>0</v>
      </c>
      <c r="J376" s="129">
        <f t="shared" si="30"/>
        <v>-36870.18</v>
      </c>
      <c r="K376" s="129"/>
      <c r="L376" s="309"/>
    </row>
    <row r="377" spans="1:12" x14ac:dyDescent="0.25">
      <c r="A377" s="127"/>
      <c r="B377" s="127"/>
      <c r="C377" s="127"/>
      <c r="D377" s="127"/>
      <c r="E377" s="127"/>
      <c r="F377" s="127" t="s">
        <v>741</v>
      </c>
      <c r="G377" s="140">
        <v>0</v>
      </c>
      <c r="H377" s="140">
        <v>0</v>
      </c>
      <c r="I377" s="140">
        <v>0</v>
      </c>
      <c r="J377" s="129">
        <f t="shared" si="30"/>
        <v>0</v>
      </c>
      <c r="K377" s="129"/>
      <c r="L377" s="309"/>
    </row>
    <row r="378" spans="1:12" x14ac:dyDescent="0.25">
      <c r="A378" s="127"/>
      <c r="B378" s="127"/>
      <c r="C378" s="127"/>
      <c r="D378" s="127"/>
      <c r="E378" s="127"/>
      <c r="F378" s="127" t="s">
        <v>1121</v>
      </c>
      <c r="G378" s="140">
        <v>-288967</v>
      </c>
      <c r="H378" s="140">
        <v>0</v>
      </c>
      <c r="I378" s="140">
        <v>0</v>
      </c>
      <c r="J378" s="129">
        <f t="shared" si="30"/>
        <v>-288967</v>
      </c>
      <c r="K378" s="129"/>
      <c r="L378" s="309"/>
    </row>
    <row r="379" spans="1:12" x14ac:dyDescent="0.25">
      <c r="A379" s="127"/>
      <c r="B379" s="127"/>
      <c r="C379" s="127"/>
      <c r="D379" s="127"/>
      <c r="E379" s="127"/>
      <c r="F379" s="127" t="s">
        <v>1246</v>
      </c>
      <c r="G379" s="140">
        <v>-267442</v>
      </c>
      <c r="H379" s="140"/>
      <c r="I379" s="140"/>
      <c r="J379" s="129">
        <f t="shared" si="30"/>
        <v>-267442</v>
      </c>
      <c r="K379" s="129"/>
      <c r="L379" s="309"/>
    </row>
    <row r="380" spans="1:12" hidden="1" x14ac:dyDescent="0.25">
      <c r="A380" s="127">
        <v>3</v>
      </c>
      <c r="B380" s="127">
        <v>2</v>
      </c>
      <c r="C380" s="127">
        <v>3</v>
      </c>
      <c r="D380" s="127"/>
      <c r="E380" s="127"/>
      <c r="F380" s="128" t="s">
        <v>144</v>
      </c>
      <c r="G380" s="471"/>
      <c r="H380" s="128"/>
      <c r="I380" s="128"/>
      <c r="J380" s="129"/>
      <c r="K380" s="129"/>
      <c r="L380" s="309"/>
    </row>
    <row r="381" spans="1:12" hidden="1" x14ac:dyDescent="0.25">
      <c r="A381" s="127">
        <v>3</v>
      </c>
      <c r="B381" s="127">
        <v>2</v>
      </c>
      <c r="C381" s="127">
        <v>3</v>
      </c>
      <c r="D381" s="127">
        <v>1</v>
      </c>
      <c r="E381" s="127"/>
      <c r="F381" s="127" t="s">
        <v>389</v>
      </c>
      <c r="G381" s="127"/>
      <c r="H381" s="127"/>
      <c r="I381" s="127"/>
      <c r="J381" s="129"/>
      <c r="K381" s="129"/>
      <c r="L381" s="309"/>
    </row>
    <row r="382" spans="1:12" hidden="1" x14ac:dyDescent="0.25">
      <c r="A382" s="127">
        <v>3</v>
      </c>
      <c r="B382" s="127">
        <v>2</v>
      </c>
      <c r="C382" s="127">
        <v>3</v>
      </c>
      <c r="D382" s="127">
        <v>2</v>
      </c>
      <c r="E382" s="127"/>
      <c r="F382" s="127" t="s">
        <v>390</v>
      </c>
      <c r="G382" s="127"/>
      <c r="H382" s="127"/>
      <c r="I382" s="127"/>
      <c r="J382" s="129"/>
      <c r="K382" s="129"/>
      <c r="L382" s="309"/>
    </row>
    <row r="383" spans="1:12" hidden="1" x14ac:dyDescent="0.25">
      <c r="A383" s="127">
        <v>3</v>
      </c>
      <c r="B383" s="127">
        <v>2</v>
      </c>
      <c r="C383" s="127">
        <v>3</v>
      </c>
      <c r="D383" s="127">
        <v>3</v>
      </c>
      <c r="E383" s="127"/>
      <c r="F383" s="127" t="s">
        <v>391</v>
      </c>
      <c r="G383" s="127"/>
      <c r="H383" s="127"/>
      <c r="I383" s="127"/>
      <c r="J383" s="129"/>
      <c r="K383" s="129"/>
      <c r="L383" s="309"/>
    </row>
    <row r="384" spans="1:12" hidden="1" x14ac:dyDescent="0.25">
      <c r="A384" s="127">
        <v>3</v>
      </c>
      <c r="B384" s="127">
        <v>2</v>
      </c>
      <c r="C384" s="127">
        <v>3</v>
      </c>
      <c r="D384" s="127">
        <v>9</v>
      </c>
      <c r="E384" s="127"/>
      <c r="F384" s="127" t="s">
        <v>392</v>
      </c>
      <c r="G384" s="127"/>
      <c r="H384" s="127"/>
      <c r="I384" s="127"/>
      <c r="J384" s="129"/>
      <c r="K384" s="129"/>
      <c r="L384" s="309"/>
    </row>
    <row r="385" spans="1:12" hidden="1" x14ac:dyDescent="0.25">
      <c r="A385" s="127">
        <v>3</v>
      </c>
      <c r="B385" s="127">
        <v>2</v>
      </c>
      <c r="C385" s="127">
        <v>4</v>
      </c>
      <c r="D385" s="127"/>
      <c r="E385" s="127"/>
      <c r="F385" s="128" t="s">
        <v>145</v>
      </c>
      <c r="G385" s="128"/>
      <c r="H385" s="128"/>
      <c r="I385" s="128"/>
      <c r="J385" s="129"/>
      <c r="K385" s="129"/>
      <c r="L385" s="309"/>
    </row>
    <row r="386" spans="1:12" hidden="1" x14ac:dyDescent="0.25">
      <c r="A386" s="127">
        <v>3</v>
      </c>
      <c r="B386" s="127">
        <v>2</v>
      </c>
      <c r="C386" s="127">
        <v>4</v>
      </c>
      <c r="D386" s="127">
        <v>1</v>
      </c>
      <c r="E386" s="127"/>
      <c r="F386" s="127" t="s">
        <v>393</v>
      </c>
      <c r="G386" s="127"/>
      <c r="H386" s="127"/>
      <c r="I386" s="127"/>
      <c r="J386" s="129"/>
      <c r="K386" s="129"/>
      <c r="L386" s="309"/>
    </row>
    <row r="387" spans="1:12" hidden="1" x14ac:dyDescent="0.25">
      <c r="A387" s="127">
        <v>3</v>
      </c>
      <c r="B387" s="127">
        <v>2</v>
      </c>
      <c r="C387" s="127">
        <v>4</v>
      </c>
      <c r="D387" s="127">
        <v>2</v>
      </c>
      <c r="E387" s="127"/>
      <c r="F387" s="127" t="s">
        <v>394</v>
      </c>
      <c r="G387" s="127"/>
      <c r="H387" s="127"/>
      <c r="I387" s="127"/>
      <c r="J387" s="129"/>
      <c r="K387" s="129"/>
      <c r="L387" s="309"/>
    </row>
    <row r="388" spans="1:12" hidden="1" x14ac:dyDescent="0.25">
      <c r="A388" s="127">
        <v>3</v>
      </c>
      <c r="B388" s="127">
        <v>2</v>
      </c>
      <c r="C388" s="127">
        <v>4</v>
      </c>
      <c r="D388" s="127">
        <v>3</v>
      </c>
      <c r="E388" s="127"/>
      <c r="F388" s="127" t="s">
        <v>395</v>
      </c>
      <c r="G388" s="127"/>
      <c r="H388" s="127"/>
      <c r="I388" s="127"/>
      <c r="J388" s="129"/>
      <c r="K388" s="129"/>
      <c r="L388" s="309"/>
    </row>
    <row r="389" spans="1:12" ht="24" hidden="1" x14ac:dyDescent="0.25">
      <c r="A389" s="127">
        <v>3</v>
      </c>
      <c r="B389" s="127">
        <v>2</v>
      </c>
      <c r="C389" s="127">
        <v>5</v>
      </c>
      <c r="D389" s="127"/>
      <c r="E389" s="127"/>
      <c r="F389" s="128" t="s">
        <v>146</v>
      </c>
      <c r="G389" s="128"/>
      <c r="H389" s="128"/>
      <c r="I389" s="128"/>
      <c r="J389" s="129"/>
      <c r="K389" s="129"/>
      <c r="L389" s="309"/>
    </row>
    <row r="390" spans="1:12" hidden="1" x14ac:dyDescent="0.25">
      <c r="A390" s="127">
        <v>3</v>
      </c>
      <c r="B390" s="127">
        <v>2</v>
      </c>
      <c r="C390" s="127">
        <v>5</v>
      </c>
      <c r="D390" s="127">
        <v>1</v>
      </c>
      <c r="E390" s="127"/>
      <c r="F390" s="127" t="s">
        <v>396</v>
      </c>
      <c r="G390" s="127"/>
      <c r="H390" s="127"/>
      <c r="I390" s="127"/>
      <c r="J390" s="129"/>
      <c r="K390" s="129"/>
      <c r="L390" s="309"/>
    </row>
    <row r="391" spans="1:12" hidden="1" x14ac:dyDescent="0.25">
      <c r="A391" s="127">
        <v>3</v>
      </c>
      <c r="B391" s="127">
        <v>2</v>
      </c>
      <c r="C391" s="127">
        <v>5</v>
      </c>
      <c r="D391" s="127">
        <v>2</v>
      </c>
      <c r="E391" s="127"/>
      <c r="F391" s="127" t="s">
        <v>397</v>
      </c>
      <c r="G391" s="127"/>
      <c r="H391" s="127"/>
      <c r="I391" s="127"/>
      <c r="J391" s="129"/>
      <c r="K391" s="129"/>
      <c r="L391" s="309"/>
    </row>
    <row r="392" spans="1:12" ht="24" x14ac:dyDescent="0.25">
      <c r="A392" s="126">
        <v>3</v>
      </c>
      <c r="B392" s="126">
        <v>3</v>
      </c>
      <c r="C392" s="126"/>
      <c r="D392" s="126"/>
      <c r="E392" s="126"/>
      <c r="F392" s="126" t="s">
        <v>398</v>
      </c>
      <c r="G392" s="145">
        <f>SUM(G393:G394)</f>
        <v>3386308</v>
      </c>
      <c r="H392" s="145">
        <f>SUM(H393:H394)</f>
        <v>0</v>
      </c>
      <c r="I392" s="145">
        <f t="shared" ref="I392:J392" si="31">SUM(I393:I394)</f>
        <v>0</v>
      </c>
      <c r="J392" s="145">
        <f t="shared" si="31"/>
        <v>3386308</v>
      </c>
      <c r="K392" s="130"/>
      <c r="L392" s="309"/>
    </row>
    <row r="393" spans="1:12" x14ac:dyDescent="0.25">
      <c r="A393" s="127">
        <v>3</v>
      </c>
      <c r="B393" s="127">
        <v>3</v>
      </c>
      <c r="C393" s="127">
        <v>1</v>
      </c>
      <c r="D393" s="127"/>
      <c r="E393" s="127"/>
      <c r="F393" s="128" t="s">
        <v>148</v>
      </c>
      <c r="G393" s="128"/>
      <c r="H393" s="128"/>
      <c r="I393" s="128"/>
      <c r="J393" s="129"/>
      <c r="K393" s="129"/>
      <c r="L393" s="309"/>
    </row>
    <row r="394" spans="1:12" x14ac:dyDescent="0.25">
      <c r="A394" s="127">
        <v>3</v>
      </c>
      <c r="B394" s="127">
        <v>3</v>
      </c>
      <c r="C394" s="127">
        <v>2</v>
      </c>
      <c r="D394" s="127"/>
      <c r="E394" s="127"/>
      <c r="F394" s="128" t="s">
        <v>149</v>
      </c>
      <c r="G394" s="129">
        <f>SUM(G395:G396)</f>
        <v>3386308</v>
      </c>
      <c r="H394" s="129">
        <f t="shared" ref="H394:J394" si="32">SUM(H395:H396)</f>
        <v>0</v>
      </c>
      <c r="I394" s="129">
        <f t="shared" si="32"/>
        <v>0</v>
      </c>
      <c r="J394" s="129">
        <f t="shared" si="32"/>
        <v>3386308</v>
      </c>
      <c r="K394" s="129"/>
      <c r="L394" s="309"/>
    </row>
    <row r="395" spans="1:12" x14ac:dyDescent="0.25">
      <c r="A395" s="127"/>
      <c r="B395" s="127"/>
      <c r="C395" s="127"/>
      <c r="D395" s="127"/>
      <c r="E395" s="127"/>
      <c r="F395" s="127" t="s">
        <v>124</v>
      </c>
      <c r="G395" s="140">
        <v>2518887</v>
      </c>
      <c r="H395" s="140"/>
      <c r="I395" s="140">
        <v>0</v>
      </c>
      <c r="J395" s="129">
        <f>+G395+I395-H395</f>
        <v>2518887</v>
      </c>
      <c r="K395" s="129"/>
      <c r="L395" s="309"/>
    </row>
    <row r="396" spans="1:12" x14ac:dyDescent="0.25">
      <c r="A396" s="127"/>
      <c r="B396" s="127"/>
      <c r="C396" s="127"/>
      <c r="D396" s="127"/>
      <c r="E396" s="127"/>
      <c r="F396" s="127" t="s">
        <v>755</v>
      </c>
      <c r="G396" s="140">
        <v>867421</v>
      </c>
      <c r="H396" s="140"/>
      <c r="I396" s="140"/>
      <c r="J396" s="129">
        <f>G396-H396+I396</f>
        <v>867421</v>
      </c>
      <c r="K396" s="129"/>
      <c r="L396" s="309"/>
    </row>
    <row r="397" spans="1:12" x14ac:dyDescent="0.25">
      <c r="A397" s="125">
        <v>4</v>
      </c>
      <c r="B397" s="125"/>
      <c r="C397" s="125"/>
      <c r="D397" s="125"/>
      <c r="E397" s="125"/>
      <c r="F397" s="136" t="s">
        <v>2</v>
      </c>
      <c r="G397" s="146">
        <f t="shared" ref="G397:H397" si="33">G398+G460</f>
        <v>15928878</v>
      </c>
      <c r="H397" s="146">
        <f t="shared" si="33"/>
        <v>0</v>
      </c>
      <c r="I397" s="146">
        <f>I398+I460</f>
        <v>5903496</v>
      </c>
      <c r="J397" s="146">
        <f t="shared" ref="J397" si="34">J398+J460</f>
        <v>5903496</v>
      </c>
      <c r="K397" s="146"/>
      <c r="L397" s="309"/>
    </row>
    <row r="398" spans="1:12" x14ac:dyDescent="0.25">
      <c r="A398" s="126">
        <v>4</v>
      </c>
      <c r="B398" s="126">
        <v>1</v>
      </c>
      <c r="C398" s="126"/>
      <c r="D398" s="126"/>
      <c r="E398" s="126"/>
      <c r="F398" s="126" t="s">
        <v>400</v>
      </c>
      <c r="G398" s="145">
        <f>+G416+G430+G439</f>
        <v>3927598</v>
      </c>
      <c r="H398" s="145">
        <f t="shared" ref="H398:J398" si="35">+H416+H430+H439</f>
        <v>0</v>
      </c>
      <c r="I398" s="145">
        <f t="shared" si="35"/>
        <v>3350496</v>
      </c>
      <c r="J398" s="145">
        <f t="shared" si="35"/>
        <v>3350496</v>
      </c>
      <c r="K398" s="145"/>
      <c r="L398" s="309"/>
    </row>
    <row r="399" spans="1:12" hidden="1" x14ac:dyDescent="0.25">
      <c r="A399" s="125">
        <v>4</v>
      </c>
      <c r="B399" s="125">
        <v>1</v>
      </c>
      <c r="C399" s="125">
        <v>1</v>
      </c>
      <c r="D399" s="125"/>
      <c r="E399" s="125"/>
      <c r="F399" s="149" t="s">
        <v>41</v>
      </c>
      <c r="G399" s="149"/>
      <c r="H399" s="149"/>
      <c r="I399" s="149"/>
      <c r="J399" s="145"/>
      <c r="K399" s="145"/>
      <c r="L399" s="309"/>
    </row>
    <row r="400" spans="1:12" hidden="1" x14ac:dyDescent="0.25">
      <c r="A400" s="127">
        <v>4</v>
      </c>
      <c r="B400" s="127">
        <v>1</v>
      </c>
      <c r="C400" s="127">
        <v>1</v>
      </c>
      <c r="D400" s="127">
        <v>1</v>
      </c>
      <c r="E400" s="127"/>
      <c r="F400" s="127" t="s">
        <v>401</v>
      </c>
      <c r="G400" s="127"/>
      <c r="H400" s="127"/>
      <c r="I400" s="127"/>
      <c r="J400" s="129"/>
      <c r="K400" s="129"/>
      <c r="L400" s="309"/>
    </row>
    <row r="401" spans="1:12" hidden="1" x14ac:dyDescent="0.25">
      <c r="A401" s="127">
        <v>4</v>
      </c>
      <c r="B401" s="127">
        <v>1</v>
      </c>
      <c r="C401" s="127">
        <v>1</v>
      </c>
      <c r="D401" s="127">
        <v>2</v>
      </c>
      <c r="E401" s="127"/>
      <c r="F401" s="127" t="s">
        <v>402</v>
      </c>
      <c r="G401" s="127"/>
      <c r="H401" s="127"/>
      <c r="I401" s="127"/>
      <c r="J401" s="129"/>
      <c r="K401" s="129"/>
      <c r="L401" s="309"/>
    </row>
    <row r="402" spans="1:12" ht="24" hidden="1" x14ac:dyDescent="0.25">
      <c r="A402" s="127">
        <v>4</v>
      </c>
      <c r="B402" s="127">
        <v>1</v>
      </c>
      <c r="C402" s="127">
        <v>1</v>
      </c>
      <c r="D402" s="127">
        <v>3</v>
      </c>
      <c r="E402" s="127"/>
      <c r="F402" s="127" t="s">
        <v>403</v>
      </c>
      <c r="G402" s="127"/>
      <c r="H402" s="127"/>
      <c r="I402" s="127"/>
      <c r="J402" s="129"/>
      <c r="K402" s="129"/>
      <c r="L402" s="309"/>
    </row>
    <row r="403" spans="1:12" hidden="1" x14ac:dyDescent="0.25">
      <c r="A403" s="127">
        <v>4</v>
      </c>
      <c r="B403" s="127">
        <v>1</v>
      </c>
      <c r="C403" s="127">
        <v>1</v>
      </c>
      <c r="D403" s="127">
        <v>4</v>
      </c>
      <c r="E403" s="127"/>
      <c r="F403" s="127" t="s">
        <v>404</v>
      </c>
      <c r="G403" s="127"/>
      <c r="H403" s="127"/>
      <c r="I403" s="127"/>
      <c r="J403" s="129"/>
      <c r="K403" s="129"/>
      <c r="L403" s="309"/>
    </row>
    <row r="404" spans="1:12" hidden="1" x14ac:dyDescent="0.25">
      <c r="A404" s="127">
        <v>4</v>
      </c>
      <c r="B404" s="127">
        <v>1</v>
      </c>
      <c r="C404" s="127">
        <v>1</v>
      </c>
      <c r="D404" s="127">
        <v>5</v>
      </c>
      <c r="E404" s="127"/>
      <c r="F404" s="127" t="s">
        <v>405</v>
      </c>
      <c r="G404" s="127"/>
      <c r="H404" s="127"/>
      <c r="I404" s="127"/>
      <c r="J404" s="129"/>
      <c r="K404" s="129"/>
      <c r="L404" s="309"/>
    </row>
    <row r="405" spans="1:12" hidden="1" x14ac:dyDescent="0.25">
      <c r="A405" s="127">
        <v>4</v>
      </c>
      <c r="B405" s="127">
        <v>1</v>
      </c>
      <c r="C405" s="127">
        <v>1</v>
      </c>
      <c r="D405" s="127">
        <v>6</v>
      </c>
      <c r="E405" s="127"/>
      <c r="F405" s="127" t="s">
        <v>406</v>
      </c>
      <c r="G405" s="127"/>
      <c r="H405" s="127"/>
      <c r="I405" s="127"/>
      <c r="J405" s="129"/>
      <c r="K405" s="129"/>
      <c r="L405" s="309"/>
    </row>
    <row r="406" spans="1:12" hidden="1" x14ac:dyDescent="0.25">
      <c r="A406" s="127">
        <v>4</v>
      </c>
      <c r="B406" s="127">
        <v>1</v>
      </c>
      <c r="C406" s="127">
        <v>1</v>
      </c>
      <c r="D406" s="127">
        <v>7</v>
      </c>
      <c r="E406" s="127"/>
      <c r="F406" s="127" t="s">
        <v>407</v>
      </c>
      <c r="G406" s="127"/>
      <c r="H406" s="127"/>
      <c r="I406" s="127"/>
      <c r="J406" s="129"/>
      <c r="K406" s="129"/>
      <c r="L406" s="309"/>
    </row>
    <row r="407" spans="1:12" hidden="1" x14ac:dyDescent="0.25">
      <c r="A407" s="127">
        <v>4</v>
      </c>
      <c r="B407" s="127">
        <v>1</v>
      </c>
      <c r="C407" s="127">
        <v>1</v>
      </c>
      <c r="D407" s="127">
        <v>9</v>
      </c>
      <c r="E407" s="127"/>
      <c r="F407" s="127" t="s">
        <v>408</v>
      </c>
      <c r="G407" s="127"/>
      <c r="H407" s="127"/>
      <c r="I407" s="127"/>
      <c r="J407" s="129"/>
      <c r="K407" s="129"/>
      <c r="L407" s="309"/>
    </row>
    <row r="408" spans="1:12" hidden="1" x14ac:dyDescent="0.25">
      <c r="A408" s="127">
        <v>4</v>
      </c>
      <c r="B408" s="127">
        <v>1</v>
      </c>
      <c r="C408" s="127">
        <v>2</v>
      </c>
      <c r="D408" s="127"/>
      <c r="E408" s="127"/>
      <c r="F408" s="128" t="s">
        <v>214</v>
      </c>
      <c r="G408" s="128"/>
      <c r="H408" s="128"/>
      <c r="I408" s="128"/>
      <c r="J408" s="129"/>
      <c r="K408" s="129"/>
      <c r="L408" s="309"/>
    </row>
    <row r="409" spans="1:12" hidden="1" x14ac:dyDescent="0.25">
      <c r="A409" s="127">
        <v>4</v>
      </c>
      <c r="B409" s="127">
        <v>1</v>
      </c>
      <c r="C409" s="127">
        <v>2</v>
      </c>
      <c r="D409" s="127">
        <v>1</v>
      </c>
      <c r="E409" s="127"/>
      <c r="F409" s="127" t="s">
        <v>409</v>
      </c>
      <c r="G409" s="127"/>
      <c r="H409" s="127"/>
      <c r="I409" s="127"/>
      <c r="J409" s="129"/>
      <c r="K409" s="129"/>
      <c r="L409" s="309"/>
    </row>
    <row r="410" spans="1:12" hidden="1" x14ac:dyDescent="0.25">
      <c r="A410" s="127">
        <v>4</v>
      </c>
      <c r="B410" s="127">
        <v>1</v>
      </c>
      <c r="C410" s="127">
        <v>2</v>
      </c>
      <c r="D410" s="127">
        <v>2</v>
      </c>
      <c r="E410" s="127"/>
      <c r="F410" s="127" t="s">
        <v>410</v>
      </c>
      <c r="G410" s="127"/>
      <c r="H410" s="127"/>
      <c r="I410" s="127"/>
      <c r="J410" s="129"/>
      <c r="K410" s="129"/>
      <c r="L410" s="309"/>
    </row>
    <row r="411" spans="1:12" hidden="1" x14ac:dyDescent="0.25">
      <c r="A411" s="127">
        <v>4</v>
      </c>
      <c r="B411" s="127">
        <v>1</v>
      </c>
      <c r="C411" s="127">
        <v>2</v>
      </c>
      <c r="D411" s="127">
        <v>3</v>
      </c>
      <c r="E411" s="127"/>
      <c r="F411" s="127" t="s">
        <v>411</v>
      </c>
      <c r="G411" s="127"/>
      <c r="H411" s="127"/>
      <c r="I411" s="127"/>
      <c r="J411" s="129"/>
      <c r="K411" s="129"/>
      <c r="L411" s="309"/>
    </row>
    <row r="412" spans="1:12" ht="24" hidden="1" x14ac:dyDescent="0.25">
      <c r="A412" s="127">
        <v>4</v>
      </c>
      <c r="B412" s="127">
        <v>1</v>
      </c>
      <c r="C412" s="127">
        <v>2</v>
      </c>
      <c r="D412" s="127">
        <v>4</v>
      </c>
      <c r="E412" s="127"/>
      <c r="F412" s="127" t="s">
        <v>412</v>
      </c>
      <c r="G412" s="127"/>
      <c r="H412" s="127"/>
      <c r="I412" s="127"/>
      <c r="J412" s="129"/>
      <c r="K412" s="129"/>
      <c r="L412" s="309"/>
    </row>
    <row r="413" spans="1:12" hidden="1" x14ac:dyDescent="0.25">
      <c r="A413" s="127">
        <v>4</v>
      </c>
      <c r="B413" s="127">
        <v>1</v>
      </c>
      <c r="C413" s="127">
        <v>2</v>
      </c>
      <c r="D413" s="127">
        <v>9</v>
      </c>
      <c r="E413" s="127"/>
      <c r="F413" s="127" t="s">
        <v>413</v>
      </c>
      <c r="G413" s="127"/>
      <c r="H413" s="127"/>
      <c r="I413" s="127"/>
      <c r="J413" s="129"/>
      <c r="K413" s="129"/>
      <c r="L413" s="309"/>
    </row>
    <row r="414" spans="1:12" hidden="1" x14ac:dyDescent="0.25">
      <c r="A414" s="127">
        <v>4</v>
      </c>
      <c r="B414" s="127">
        <v>1</v>
      </c>
      <c r="C414" s="127">
        <v>3</v>
      </c>
      <c r="D414" s="127"/>
      <c r="E414" s="127"/>
      <c r="F414" s="128" t="s">
        <v>42</v>
      </c>
      <c r="G414" s="128"/>
      <c r="H414" s="128"/>
      <c r="I414" s="128"/>
      <c r="J414" s="129"/>
      <c r="K414" s="129"/>
      <c r="L414" s="309"/>
    </row>
    <row r="415" spans="1:12" hidden="1" x14ac:dyDescent="0.25">
      <c r="A415" s="127">
        <v>4</v>
      </c>
      <c r="B415" s="127">
        <v>1</v>
      </c>
      <c r="C415" s="127">
        <v>3</v>
      </c>
      <c r="D415" s="127">
        <v>1</v>
      </c>
      <c r="E415" s="127"/>
      <c r="F415" s="127" t="s">
        <v>414</v>
      </c>
      <c r="G415" s="127"/>
      <c r="H415" s="127"/>
      <c r="I415" s="127"/>
      <c r="J415" s="129"/>
      <c r="K415" s="129"/>
      <c r="L415" s="309"/>
    </row>
    <row r="416" spans="1:12" x14ac:dyDescent="0.25">
      <c r="A416" s="125">
        <v>4</v>
      </c>
      <c r="B416" s="125">
        <v>1</v>
      </c>
      <c r="C416" s="125">
        <v>4</v>
      </c>
      <c r="D416" s="125"/>
      <c r="E416" s="125"/>
      <c r="F416" s="149" t="s">
        <v>43</v>
      </c>
      <c r="G416" s="467">
        <f t="shared" ref="G416" si="36">SUM(G417:G421)</f>
        <v>3720212</v>
      </c>
      <c r="H416" s="467">
        <f t="shared" ref="H416:I416" si="37">SUM(H417:H421)</f>
        <v>0</v>
      </c>
      <c r="I416" s="467">
        <f t="shared" si="37"/>
        <v>3348711</v>
      </c>
      <c r="J416" s="467">
        <f t="shared" ref="J416" si="38">SUM(J417:J421)</f>
        <v>3348711</v>
      </c>
      <c r="K416" s="467"/>
      <c r="L416" s="309"/>
    </row>
    <row r="417" spans="1:12" ht="24" hidden="1" x14ac:dyDescent="0.25">
      <c r="A417" s="127">
        <v>4</v>
      </c>
      <c r="B417" s="127">
        <v>1</v>
      </c>
      <c r="C417" s="127">
        <v>4</v>
      </c>
      <c r="D417" s="127">
        <v>1</v>
      </c>
      <c r="E417" s="127"/>
      <c r="F417" s="127" t="s">
        <v>415</v>
      </c>
      <c r="G417" s="129"/>
      <c r="H417" s="129"/>
      <c r="I417" s="129"/>
      <c r="J417" s="129"/>
      <c r="K417" s="129"/>
      <c r="L417" s="309"/>
    </row>
    <row r="418" spans="1:12" hidden="1" x14ac:dyDescent="0.25">
      <c r="A418" s="127">
        <v>4</v>
      </c>
      <c r="B418" s="127">
        <v>1</v>
      </c>
      <c r="C418" s="127">
        <v>4</v>
      </c>
      <c r="D418" s="127">
        <v>2</v>
      </c>
      <c r="E418" s="127"/>
      <c r="F418" s="127" t="s">
        <v>416</v>
      </c>
      <c r="G418" s="129"/>
      <c r="H418" s="129"/>
      <c r="I418" s="129"/>
      <c r="J418" s="129"/>
      <c r="K418" s="129"/>
      <c r="L418" s="309"/>
    </row>
    <row r="419" spans="1:12" hidden="1" x14ac:dyDescent="0.25">
      <c r="A419" s="127">
        <v>4</v>
      </c>
      <c r="B419" s="127">
        <v>1</v>
      </c>
      <c r="C419" s="127">
        <v>4</v>
      </c>
      <c r="D419" s="127">
        <v>3</v>
      </c>
      <c r="E419" s="127"/>
      <c r="F419" s="127" t="s">
        <v>417</v>
      </c>
      <c r="G419" s="129"/>
      <c r="H419" s="129"/>
      <c r="I419" s="129"/>
      <c r="J419" s="129"/>
      <c r="K419" s="129"/>
      <c r="L419" s="309"/>
    </row>
    <row r="420" spans="1:12" hidden="1" x14ac:dyDescent="0.25">
      <c r="A420" s="127">
        <v>4</v>
      </c>
      <c r="B420" s="127">
        <v>1</v>
      </c>
      <c r="C420" s="127">
        <v>4</v>
      </c>
      <c r="D420" s="127">
        <v>4</v>
      </c>
      <c r="E420" s="127"/>
      <c r="F420" s="127" t="s">
        <v>418</v>
      </c>
      <c r="G420" s="129"/>
      <c r="H420" s="129"/>
      <c r="I420" s="129"/>
      <c r="J420" s="129"/>
      <c r="K420" s="129"/>
      <c r="L420" s="309"/>
    </row>
    <row r="421" spans="1:12" x14ac:dyDescent="0.25">
      <c r="A421" s="127">
        <v>4</v>
      </c>
      <c r="B421" s="127">
        <v>1</v>
      </c>
      <c r="C421" s="127">
        <v>4</v>
      </c>
      <c r="D421" s="127">
        <v>9</v>
      </c>
      <c r="E421" s="127"/>
      <c r="F421" s="127" t="s">
        <v>419</v>
      </c>
      <c r="G421" s="129">
        <f t="shared" ref="G421:J421" si="39">SUM(G422:G429)</f>
        <v>3720212</v>
      </c>
      <c r="H421" s="129">
        <f t="shared" si="39"/>
        <v>0</v>
      </c>
      <c r="I421" s="129">
        <f t="shared" si="39"/>
        <v>3348711</v>
      </c>
      <c r="J421" s="129">
        <f t="shared" si="39"/>
        <v>3348711</v>
      </c>
      <c r="K421" s="129"/>
      <c r="L421" s="309"/>
    </row>
    <row r="422" spans="1:12" x14ac:dyDescent="0.25">
      <c r="A422" s="127"/>
      <c r="B422" s="127"/>
      <c r="C422" s="127"/>
      <c r="D422" s="127"/>
      <c r="E422" s="127"/>
      <c r="F422" s="127" t="s">
        <v>822</v>
      </c>
      <c r="G422" s="140">
        <v>1354565</v>
      </c>
      <c r="H422" s="140">
        <v>0</v>
      </c>
      <c r="I422" s="140">
        <v>303768</v>
      </c>
      <c r="J422" s="129">
        <f t="shared" ref="J422:J429" si="40">I422</f>
        <v>303768</v>
      </c>
      <c r="K422" s="129"/>
      <c r="L422" s="309"/>
    </row>
    <row r="423" spans="1:12" x14ac:dyDescent="0.25">
      <c r="A423" s="127"/>
      <c r="B423" s="127"/>
      <c r="C423" s="127"/>
      <c r="D423" s="127"/>
      <c r="E423" s="127"/>
      <c r="F423" s="127" t="s">
        <v>832</v>
      </c>
      <c r="G423" s="140">
        <v>96000</v>
      </c>
      <c r="H423" s="140">
        <v>0</v>
      </c>
      <c r="I423" s="140">
        <v>0</v>
      </c>
      <c r="J423" s="129">
        <f t="shared" si="40"/>
        <v>0</v>
      </c>
      <c r="K423" s="129"/>
      <c r="L423" s="309"/>
    </row>
    <row r="424" spans="1:12" x14ac:dyDescent="0.25">
      <c r="A424" s="127"/>
      <c r="B424" s="127"/>
      <c r="C424" s="127"/>
      <c r="D424" s="127"/>
      <c r="E424" s="127"/>
      <c r="F424" s="127" t="s">
        <v>823</v>
      </c>
      <c r="G424" s="140">
        <v>265678</v>
      </c>
      <c r="H424" s="140">
        <v>0</v>
      </c>
      <c r="I424" s="140">
        <v>83000</v>
      </c>
      <c r="J424" s="129">
        <f t="shared" si="40"/>
        <v>83000</v>
      </c>
      <c r="K424" s="129"/>
      <c r="L424" s="309"/>
    </row>
    <row r="425" spans="1:12" x14ac:dyDescent="0.25">
      <c r="A425" s="127"/>
      <c r="B425" s="127"/>
      <c r="C425" s="127"/>
      <c r="D425" s="127"/>
      <c r="E425" s="127"/>
      <c r="F425" s="127" t="s">
        <v>833</v>
      </c>
      <c r="G425" s="140">
        <v>0</v>
      </c>
      <c r="H425" s="140">
        <v>0</v>
      </c>
      <c r="I425" s="140">
        <v>0</v>
      </c>
      <c r="J425" s="129">
        <f t="shared" si="40"/>
        <v>0</v>
      </c>
      <c r="K425" s="129"/>
      <c r="L425" s="309"/>
    </row>
    <row r="426" spans="1:12" x14ac:dyDescent="0.25">
      <c r="A426" s="127"/>
      <c r="B426" s="127"/>
      <c r="C426" s="127"/>
      <c r="D426" s="127"/>
      <c r="E426" s="127"/>
      <c r="F426" s="127" t="s">
        <v>824</v>
      </c>
      <c r="G426" s="140">
        <v>5534</v>
      </c>
      <c r="H426" s="140">
        <v>0</v>
      </c>
      <c r="I426" s="140">
        <v>1943</v>
      </c>
      <c r="J426" s="129">
        <f>I426</f>
        <v>1943</v>
      </c>
      <c r="K426" s="129"/>
      <c r="L426" s="309"/>
    </row>
    <row r="427" spans="1:12" x14ac:dyDescent="0.25">
      <c r="A427" s="127"/>
      <c r="B427" s="127"/>
      <c r="C427" s="127"/>
      <c r="D427" s="127"/>
      <c r="E427" s="127"/>
      <c r="F427" s="127" t="s">
        <v>825</v>
      </c>
      <c r="G427" s="140">
        <v>0</v>
      </c>
      <c r="H427" s="140">
        <v>0</v>
      </c>
      <c r="I427" s="140"/>
      <c r="J427" s="129">
        <f t="shared" si="40"/>
        <v>0</v>
      </c>
      <c r="K427" s="129"/>
      <c r="L427" s="309"/>
    </row>
    <row r="428" spans="1:12" x14ac:dyDescent="0.25">
      <c r="A428" s="127"/>
      <c r="B428" s="127"/>
      <c r="C428" s="127"/>
      <c r="D428" s="127"/>
      <c r="E428" s="127"/>
      <c r="F428" s="127" t="s">
        <v>826</v>
      </c>
      <c r="G428" s="140">
        <v>1251878</v>
      </c>
      <c r="H428" s="140">
        <v>0</v>
      </c>
      <c r="I428" s="140">
        <v>2820000</v>
      </c>
      <c r="J428" s="129">
        <f t="shared" si="40"/>
        <v>2820000</v>
      </c>
      <c r="K428" s="129"/>
      <c r="L428" s="309"/>
    </row>
    <row r="429" spans="1:12" x14ac:dyDescent="0.25">
      <c r="A429" s="127"/>
      <c r="B429" s="127"/>
      <c r="C429" s="127"/>
      <c r="D429" s="127"/>
      <c r="E429" s="127"/>
      <c r="F429" s="127" t="s">
        <v>827</v>
      </c>
      <c r="G429" s="140">
        <v>746557</v>
      </c>
      <c r="H429" s="140">
        <v>0</v>
      </c>
      <c r="I429" s="140">
        <v>140000</v>
      </c>
      <c r="J429" s="129">
        <f t="shared" si="40"/>
        <v>140000</v>
      </c>
      <c r="K429" s="129"/>
      <c r="L429" s="309"/>
    </row>
    <row r="430" spans="1:12" x14ac:dyDescent="0.25">
      <c r="A430" s="125">
        <v>4</v>
      </c>
      <c r="B430" s="125">
        <v>1</v>
      </c>
      <c r="C430" s="125">
        <v>5</v>
      </c>
      <c r="D430" s="125"/>
      <c r="E430" s="125"/>
      <c r="F430" s="149" t="s">
        <v>44</v>
      </c>
      <c r="G430" s="467">
        <f t="shared" ref="G430" si="41">SUM(G431:G434)</f>
        <v>4841</v>
      </c>
      <c r="H430" s="467">
        <f t="shared" ref="H430:J430" si="42">SUM(H431:H434)</f>
        <v>0</v>
      </c>
      <c r="I430" s="467">
        <f t="shared" si="42"/>
        <v>1785</v>
      </c>
      <c r="J430" s="467">
        <f t="shared" si="42"/>
        <v>1785</v>
      </c>
      <c r="K430" s="467"/>
      <c r="L430" s="309"/>
    </row>
    <row r="431" spans="1:12" ht="24" hidden="1" x14ac:dyDescent="0.25">
      <c r="A431" s="127">
        <v>4</v>
      </c>
      <c r="B431" s="127">
        <v>1</v>
      </c>
      <c r="C431" s="127">
        <v>5</v>
      </c>
      <c r="D431" s="127">
        <v>1</v>
      </c>
      <c r="E431" s="127"/>
      <c r="F431" s="127" t="s">
        <v>420</v>
      </c>
      <c r="G431" s="127"/>
      <c r="H431" s="127"/>
      <c r="I431" s="127"/>
      <c r="J431" s="129"/>
      <c r="K431" s="129"/>
      <c r="L431" s="309"/>
    </row>
    <row r="432" spans="1:12" ht="24" hidden="1" x14ac:dyDescent="0.25">
      <c r="A432" s="127">
        <v>4</v>
      </c>
      <c r="B432" s="127">
        <v>1</v>
      </c>
      <c r="C432" s="127">
        <v>5</v>
      </c>
      <c r="D432" s="127">
        <v>2</v>
      </c>
      <c r="E432" s="127"/>
      <c r="F432" s="127" t="s">
        <v>421</v>
      </c>
      <c r="G432" s="127"/>
      <c r="H432" s="127"/>
      <c r="I432" s="127"/>
      <c r="J432" s="129"/>
      <c r="K432" s="129"/>
      <c r="L432" s="309"/>
    </row>
    <row r="433" spans="1:12" hidden="1" x14ac:dyDescent="0.25">
      <c r="A433" s="127">
        <v>4</v>
      </c>
      <c r="B433" s="127">
        <v>1</v>
      </c>
      <c r="C433" s="127">
        <v>5</v>
      </c>
      <c r="D433" s="127">
        <v>3</v>
      </c>
      <c r="E433" s="127"/>
      <c r="F433" s="127" t="s">
        <v>422</v>
      </c>
      <c r="G433" s="127"/>
      <c r="H433" s="127"/>
      <c r="I433" s="127"/>
      <c r="J433" s="129"/>
      <c r="K433" s="129"/>
      <c r="L433" s="309"/>
    </row>
    <row r="434" spans="1:12" x14ac:dyDescent="0.25">
      <c r="A434" s="127">
        <v>4</v>
      </c>
      <c r="B434" s="127">
        <v>1</v>
      </c>
      <c r="C434" s="127">
        <v>5</v>
      </c>
      <c r="D434" s="127">
        <v>9</v>
      </c>
      <c r="E434" s="127"/>
      <c r="F434" s="127" t="s">
        <v>423</v>
      </c>
      <c r="G434" s="129">
        <f>SUM(G435:G438)</f>
        <v>4841</v>
      </c>
      <c r="H434" s="129">
        <f t="shared" ref="H434:J434" si="43">SUM(H435:H438)</f>
        <v>0</v>
      </c>
      <c r="I434" s="129">
        <f t="shared" si="43"/>
        <v>1785</v>
      </c>
      <c r="J434" s="129">
        <f t="shared" si="43"/>
        <v>1785</v>
      </c>
      <c r="K434" s="129"/>
      <c r="L434" s="309"/>
    </row>
    <row r="435" spans="1:12" x14ac:dyDescent="0.25">
      <c r="A435" s="127"/>
      <c r="B435" s="127"/>
      <c r="C435" s="127"/>
      <c r="D435" s="127"/>
      <c r="E435" s="127"/>
      <c r="F435" s="127" t="s">
        <v>828</v>
      </c>
      <c r="G435" s="140">
        <v>371</v>
      </c>
      <c r="H435" s="140">
        <v>0</v>
      </c>
      <c r="I435" s="140">
        <v>264</v>
      </c>
      <c r="J435" s="129">
        <f t="shared" ref="J435:J438" si="44">I435</f>
        <v>264</v>
      </c>
      <c r="K435" s="129"/>
      <c r="L435" s="309"/>
    </row>
    <row r="436" spans="1:12" x14ac:dyDescent="0.25">
      <c r="A436" s="127"/>
      <c r="B436" s="127"/>
      <c r="C436" s="127"/>
      <c r="D436" s="127"/>
      <c r="E436" s="127"/>
      <c r="F436" s="127" t="s">
        <v>829</v>
      </c>
      <c r="G436" s="140">
        <v>4470</v>
      </c>
      <c r="H436" s="140">
        <v>0</v>
      </c>
      <c r="I436" s="140">
        <v>1521</v>
      </c>
      <c r="J436" s="129">
        <f t="shared" si="44"/>
        <v>1521</v>
      </c>
      <c r="K436" s="129"/>
      <c r="L436" s="309"/>
    </row>
    <row r="437" spans="1:12" x14ac:dyDescent="0.25">
      <c r="A437" s="127"/>
      <c r="B437" s="127"/>
      <c r="C437" s="127"/>
      <c r="D437" s="127"/>
      <c r="E437" s="127"/>
      <c r="F437" s="127" t="s">
        <v>830</v>
      </c>
      <c r="G437" s="140">
        <v>0</v>
      </c>
      <c r="H437" s="140">
        <v>0</v>
      </c>
      <c r="I437" s="140">
        <v>0</v>
      </c>
      <c r="J437" s="129">
        <f t="shared" si="44"/>
        <v>0</v>
      </c>
      <c r="K437" s="129"/>
      <c r="L437" s="309"/>
    </row>
    <row r="438" spans="1:12" x14ac:dyDescent="0.25">
      <c r="A438" s="127"/>
      <c r="B438" s="127"/>
      <c r="C438" s="127"/>
      <c r="D438" s="127"/>
      <c r="E438" s="127"/>
      <c r="F438" s="127" t="s">
        <v>1022</v>
      </c>
      <c r="G438" s="140">
        <v>0</v>
      </c>
      <c r="H438" s="140">
        <v>0</v>
      </c>
      <c r="I438" s="140">
        <v>0</v>
      </c>
      <c r="J438" s="129">
        <f t="shared" si="44"/>
        <v>0</v>
      </c>
      <c r="K438" s="129"/>
      <c r="L438" s="309"/>
    </row>
    <row r="439" spans="1:12" x14ac:dyDescent="0.25">
      <c r="A439" s="125">
        <v>4</v>
      </c>
      <c r="B439" s="125">
        <v>1</v>
      </c>
      <c r="C439" s="125">
        <v>6</v>
      </c>
      <c r="D439" s="125"/>
      <c r="E439" s="125"/>
      <c r="F439" s="149" t="s">
        <v>45</v>
      </c>
      <c r="G439" s="467">
        <f t="shared" ref="G439" si="45">SUM(G440:G448)</f>
        <v>202545</v>
      </c>
      <c r="H439" s="467">
        <f t="shared" ref="H439:J439" si="46">SUM(H440:H448)</f>
        <v>0</v>
      </c>
      <c r="I439" s="467">
        <f t="shared" si="46"/>
        <v>0</v>
      </c>
      <c r="J439" s="467">
        <f t="shared" si="46"/>
        <v>0</v>
      </c>
      <c r="K439" s="467"/>
      <c r="L439" s="309"/>
    </row>
    <row r="440" spans="1:12" hidden="1" x14ac:dyDescent="0.25">
      <c r="A440" s="127">
        <v>4</v>
      </c>
      <c r="B440" s="127">
        <v>1</v>
      </c>
      <c r="C440" s="127">
        <v>6</v>
      </c>
      <c r="D440" s="127">
        <v>1</v>
      </c>
      <c r="E440" s="127"/>
      <c r="F440" s="127" t="s">
        <v>424</v>
      </c>
      <c r="G440" s="127"/>
      <c r="H440" s="127"/>
      <c r="I440" s="127"/>
      <c r="J440" s="129"/>
      <c r="K440" s="129"/>
      <c r="L440" s="309"/>
    </row>
    <row r="441" spans="1:12" hidden="1" x14ac:dyDescent="0.25">
      <c r="A441" s="127">
        <v>4</v>
      </c>
      <c r="B441" s="127">
        <v>1</v>
      </c>
      <c r="C441" s="127">
        <v>6</v>
      </c>
      <c r="D441" s="127">
        <v>2</v>
      </c>
      <c r="E441" s="127"/>
      <c r="F441" s="127" t="s">
        <v>425</v>
      </c>
      <c r="G441" s="127"/>
      <c r="H441" s="127"/>
      <c r="I441" s="127"/>
      <c r="J441" s="129"/>
      <c r="K441" s="129"/>
      <c r="L441" s="309"/>
    </row>
    <row r="442" spans="1:12" hidden="1" x14ac:dyDescent="0.25">
      <c r="A442" s="127">
        <v>4</v>
      </c>
      <c r="B442" s="127">
        <v>1</v>
      </c>
      <c r="C442" s="127">
        <v>6</v>
      </c>
      <c r="D442" s="127">
        <v>3</v>
      </c>
      <c r="E442" s="127"/>
      <c r="F442" s="127" t="s">
        <v>426</v>
      </c>
      <c r="G442" s="127"/>
      <c r="H442" s="127"/>
      <c r="I442" s="127"/>
      <c r="J442" s="129"/>
      <c r="K442" s="129"/>
      <c r="L442" s="309"/>
    </row>
    <row r="443" spans="1:12" hidden="1" x14ac:dyDescent="0.25">
      <c r="A443" s="127">
        <v>4</v>
      </c>
      <c r="B443" s="127">
        <v>1</v>
      </c>
      <c r="C443" s="127">
        <v>6</v>
      </c>
      <c r="D443" s="127">
        <v>4</v>
      </c>
      <c r="E443" s="127"/>
      <c r="F443" s="127" t="s">
        <v>427</v>
      </c>
      <c r="G443" s="127"/>
      <c r="H443" s="127"/>
      <c r="I443" s="127"/>
      <c r="J443" s="129"/>
      <c r="K443" s="129"/>
      <c r="L443" s="309"/>
    </row>
    <row r="444" spans="1:12" hidden="1" x14ac:dyDescent="0.25">
      <c r="A444" s="127">
        <v>4</v>
      </c>
      <c r="B444" s="127">
        <v>1</v>
      </c>
      <c r="C444" s="127">
        <v>6</v>
      </c>
      <c r="D444" s="127">
        <v>5</v>
      </c>
      <c r="E444" s="127"/>
      <c r="F444" s="127" t="s">
        <v>428</v>
      </c>
      <c r="G444" s="127"/>
      <c r="H444" s="127"/>
      <c r="I444" s="127"/>
      <c r="J444" s="129"/>
      <c r="K444" s="129"/>
      <c r="L444" s="309"/>
    </row>
    <row r="445" spans="1:12" ht="24" hidden="1" x14ac:dyDescent="0.25">
      <c r="A445" s="127">
        <v>4</v>
      </c>
      <c r="B445" s="127">
        <v>1</v>
      </c>
      <c r="C445" s="127">
        <v>6</v>
      </c>
      <c r="D445" s="127">
        <v>6</v>
      </c>
      <c r="E445" s="127"/>
      <c r="F445" s="127" t="s">
        <v>429</v>
      </c>
      <c r="G445" s="127"/>
      <c r="H445" s="127"/>
      <c r="I445" s="127"/>
      <c r="J445" s="129"/>
      <c r="K445" s="129"/>
      <c r="L445" s="309"/>
    </row>
    <row r="446" spans="1:12" hidden="1" x14ac:dyDescent="0.25">
      <c r="A446" s="127">
        <v>4</v>
      </c>
      <c r="B446" s="127">
        <v>1</v>
      </c>
      <c r="C446" s="127">
        <v>6</v>
      </c>
      <c r="D446" s="127">
        <v>7</v>
      </c>
      <c r="E446" s="127"/>
      <c r="F446" s="127" t="s">
        <v>430</v>
      </c>
      <c r="G446" s="127"/>
      <c r="H446" s="127"/>
      <c r="I446" s="127"/>
      <c r="J446" s="129"/>
      <c r="K446" s="129"/>
      <c r="L446" s="309"/>
    </row>
    <row r="447" spans="1:12" hidden="1" x14ac:dyDescent="0.25">
      <c r="A447" s="127">
        <v>4</v>
      </c>
      <c r="B447" s="127">
        <v>1</v>
      </c>
      <c r="C447" s="127">
        <v>6</v>
      </c>
      <c r="D447" s="127">
        <v>8</v>
      </c>
      <c r="E447" s="127"/>
      <c r="F447" s="127" t="s">
        <v>431</v>
      </c>
      <c r="G447" s="127"/>
      <c r="H447" s="127"/>
      <c r="I447" s="127"/>
      <c r="J447" s="129"/>
      <c r="K447" s="129"/>
      <c r="L447" s="309"/>
    </row>
    <row r="448" spans="1:12" x14ac:dyDescent="0.25">
      <c r="A448" s="127">
        <v>4</v>
      </c>
      <c r="B448" s="127">
        <v>1</v>
      </c>
      <c r="C448" s="127">
        <v>6</v>
      </c>
      <c r="D448" s="127">
        <v>9</v>
      </c>
      <c r="E448" s="127"/>
      <c r="F448" s="127" t="s">
        <v>432</v>
      </c>
      <c r="G448" s="129">
        <f t="shared" ref="G448:J448" si="47">SUM(G449:G450)</f>
        <v>202545</v>
      </c>
      <c r="H448" s="129">
        <f t="shared" si="47"/>
        <v>0</v>
      </c>
      <c r="I448" s="129">
        <f t="shared" si="47"/>
        <v>0</v>
      </c>
      <c r="J448" s="129">
        <f t="shared" si="47"/>
        <v>0</v>
      </c>
      <c r="K448" s="129"/>
      <c r="L448" s="309"/>
    </row>
    <row r="449" spans="1:12" x14ac:dyDescent="0.25">
      <c r="A449" s="127"/>
      <c r="B449" s="127"/>
      <c r="C449" s="127"/>
      <c r="D449" s="127"/>
      <c r="E449" s="127"/>
      <c r="F449" s="127" t="s">
        <v>831</v>
      </c>
      <c r="G449" s="140">
        <v>17213</v>
      </c>
      <c r="H449" s="140">
        <v>0</v>
      </c>
      <c r="I449" s="140"/>
      <c r="J449" s="129">
        <f>I449</f>
        <v>0</v>
      </c>
      <c r="K449" s="129"/>
      <c r="L449" s="309"/>
    </row>
    <row r="450" spans="1:12" x14ac:dyDescent="0.25">
      <c r="A450" s="127"/>
      <c r="B450" s="127"/>
      <c r="C450" s="127"/>
      <c r="D450" s="127"/>
      <c r="E450" s="127"/>
      <c r="F450" s="127" t="s">
        <v>827</v>
      </c>
      <c r="G450" s="140">
        <v>185332</v>
      </c>
      <c r="H450" s="140">
        <v>0</v>
      </c>
      <c r="I450" s="140"/>
      <c r="J450" s="129">
        <f>I450</f>
        <v>0</v>
      </c>
      <c r="K450" s="129"/>
      <c r="L450" s="309"/>
    </row>
    <row r="451" spans="1:12" hidden="1" x14ac:dyDescent="0.25">
      <c r="A451" s="127">
        <v>4</v>
      </c>
      <c r="B451" s="127">
        <v>1</v>
      </c>
      <c r="C451" s="127">
        <v>7</v>
      </c>
      <c r="D451" s="127"/>
      <c r="E451" s="127"/>
      <c r="F451" s="128" t="s">
        <v>46</v>
      </c>
      <c r="G451" s="128"/>
      <c r="H451" s="128"/>
      <c r="I451" s="128"/>
      <c r="J451" s="129"/>
      <c r="K451" s="129"/>
      <c r="L451" s="309"/>
    </row>
    <row r="452" spans="1:12" hidden="1" x14ac:dyDescent="0.25">
      <c r="A452" s="127">
        <v>4</v>
      </c>
      <c r="B452" s="127">
        <v>1</v>
      </c>
      <c r="C452" s="127">
        <v>7</v>
      </c>
      <c r="D452" s="127">
        <v>1</v>
      </c>
      <c r="E452" s="127"/>
      <c r="F452" s="127" t="s">
        <v>433</v>
      </c>
      <c r="G452" s="127"/>
      <c r="H452" s="127"/>
      <c r="I452" s="127"/>
      <c r="J452" s="129"/>
      <c r="K452" s="129"/>
      <c r="L452" s="309"/>
    </row>
    <row r="453" spans="1:12" ht="24" hidden="1" x14ac:dyDescent="0.25">
      <c r="A453" s="127">
        <v>4</v>
      </c>
      <c r="B453" s="127">
        <v>1</v>
      </c>
      <c r="C453" s="127">
        <v>7</v>
      </c>
      <c r="D453" s="127">
        <v>2</v>
      </c>
      <c r="E453" s="127"/>
      <c r="F453" s="127" t="s">
        <v>434</v>
      </c>
      <c r="G453" s="127"/>
      <c r="H453" s="127"/>
      <c r="I453" s="127"/>
      <c r="J453" s="129"/>
      <c r="K453" s="129"/>
      <c r="L453" s="309"/>
    </row>
    <row r="454" spans="1:12" ht="24" hidden="1" x14ac:dyDescent="0.25">
      <c r="A454" s="127">
        <v>4</v>
      </c>
      <c r="B454" s="127">
        <v>1</v>
      </c>
      <c r="C454" s="127">
        <v>7</v>
      </c>
      <c r="D454" s="127">
        <v>3</v>
      </c>
      <c r="E454" s="127"/>
      <c r="F454" s="127" t="s">
        <v>435</v>
      </c>
      <c r="G454" s="127"/>
      <c r="H454" s="127"/>
      <c r="I454" s="127"/>
      <c r="J454" s="129"/>
      <c r="K454" s="129"/>
      <c r="L454" s="309"/>
    </row>
    <row r="455" spans="1:12" ht="24" hidden="1" x14ac:dyDescent="0.25">
      <c r="A455" s="127">
        <v>4</v>
      </c>
      <c r="B455" s="127">
        <v>1</v>
      </c>
      <c r="C455" s="127">
        <v>7</v>
      </c>
      <c r="D455" s="127">
        <v>4</v>
      </c>
      <c r="E455" s="127"/>
      <c r="F455" s="127" t="s">
        <v>436</v>
      </c>
      <c r="G455" s="127"/>
      <c r="H455" s="127"/>
      <c r="I455" s="127"/>
      <c r="J455" s="129"/>
      <c r="K455" s="129"/>
      <c r="L455" s="309"/>
    </row>
    <row r="456" spans="1:12" ht="36" hidden="1" x14ac:dyDescent="0.25">
      <c r="A456" s="127">
        <v>4</v>
      </c>
      <c r="B456" s="127">
        <v>1</v>
      </c>
      <c r="C456" s="127">
        <v>9</v>
      </c>
      <c r="D456" s="127"/>
      <c r="E456" s="127"/>
      <c r="F456" s="128" t="s">
        <v>49</v>
      </c>
      <c r="G456" s="128"/>
      <c r="H456" s="128"/>
      <c r="I456" s="128"/>
      <c r="J456" s="129"/>
      <c r="K456" s="129"/>
      <c r="L456" s="309"/>
    </row>
    <row r="457" spans="1:12" ht="36" hidden="1" x14ac:dyDescent="0.25">
      <c r="A457" s="127">
        <v>4</v>
      </c>
      <c r="B457" s="127">
        <v>1</v>
      </c>
      <c r="C457" s="127">
        <v>9</v>
      </c>
      <c r="D457" s="127">
        <v>1</v>
      </c>
      <c r="E457" s="127"/>
      <c r="F457" s="127" t="s">
        <v>437</v>
      </c>
      <c r="G457" s="127"/>
      <c r="H457" s="127"/>
      <c r="I457" s="127"/>
      <c r="J457" s="129"/>
      <c r="K457" s="129"/>
      <c r="L457" s="309"/>
    </row>
    <row r="458" spans="1:12" ht="60" hidden="1" x14ac:dyDescent="0.25">
      <c r="A458" s="127">
        <v>4</v>
      </c>
      <c r="B458" s="127">
        <v>1</v>
      </c>
      <c r="C458" s="127">
        <v>9</v>
      </c>
      <c r="D458" s="127">
        <v>2</v>
      </c>
      <c r="E458" s="127"/>
      <c r="F458" s="127" t="s">
        <v>438</v>
      </c>
      <c r="G458" s="127"/>
      <c r="H458" s="127"/>
      <c r="I458" s="127"/>
      <c r="J458" s="129"/>
      <c r="K458" s="129"/>
      <c r="L458" s="309"/>
    </row>
    <row r="459" spans="1:12" ht="36" x14ac:dyDescent="0.25">
      <c r="A459" s="126">
        <v>4</v>
      </c>
      <c r="B459" s="126">
        <v>2</v>
      </c>
      <c r="C459" s="126"/>
      <c r="D459" s="126"/>
      <c r="E459" s="126"/>
      <c r="F459" s="126" t="s">
        <v>439</v>
      </c>
      <c r="G459" s="126"/>
      <c r="H459" s="126"/>
      <c r="I459" s="126"/>
      <c r="J459" s="129"/>
      <c r="K459" s="129"/>
      <c r="L459" s="309"/>
    </row>
    <row r="460" spans="1:12" x14ac:dyDescent="0.25">
      <c r="A460" s="127">
        <v>4</v>
      </c>
      <c r="B460" s="127">
        <v>2</v>
      </c>
      <c r="C460" s="127">
        <v>1</v>
      </c>
      <c r="D460" s="132"/>
      <c r="E460" s="132"/>
      <c r="F460" s="135" t="s">
        <v>51</v>
      </c>
      <c r="G460" s="146">
        <f>SUM(G461:G463)</f>
        <v>12001280</v>
      </c>
      <c r="H460" s="146">
        <f t="shared" ref="H460:I460" si="48">SUM(H461:H463)</f>
        <v>0</v>
      </c>
      <c r="I460" s="146">
        <f t="shared" si="48"/>
        <v>2553000</v>
      </c>
      <c r="J460" s="146">
        <f>SUM(J461:J463)</f>
        <v>2553000</v>
      </c>
      <c r="K460" s="131"/>
      <c r="L460" s="309"/>
    </row>
    <row r="461" spans="1:12" x14ac:dyDescent="0.25">
      <c r="A461" s="127">
        <v>4</v>
      </c>
      <c r="B461" s="127">
        <v>2</v>
      </c>
      <c r="C461" s="127">
        <v>1</v>
      </c>
      <c r="D461" s="127">
        <v>1</v>
      </c>
      <c r="E461" s="127"/>
      <c r="F461" s="127" t="s">
        <v>75</v>
      </c>
      <c r="G461" s="129">
        <v>12001280</v>
      </c>
      <c r="H461" s="140">
        <v>0</v>
      </c>
      <c r="I461" s="140">
        <v>2553000</v>
      </c>
      <c r="J461" s="129">
        <f>I461</f>
        <v>2553000</v>
      </c>
      <c r="K461" s="129"/>
      <c r="L461" s="309"/>
    </row>
    <row r="462" spans="1:12" x14ac:dyDescent="0.25">
      <c r="A462" s="127">
        <v>4</v>
      </c>
      <c r="B462" s="127">
        <v>2</v>
      </c>
      <c r="C462" s="127">
        <v>1</v>
      </c>
      <c r="D462" s="127">
        <v>2</v>
      </c>
      <c r="E462" s="127"/>
      <c r="F462" s="127" t="s">
        <v>76</v>
      </c>
      <c r="G462" s="129">
        <v>0</v>
      </c>
      <c r="H462" s="140">
        <v>0</v>
      </c>
      <c r="I462" s="140">
        <v>0</v>
      </c>
      <c r="J462" s="129">
        <f t="shared" ref="J462:J463" si="49">I462</f>
        <v>0</v>
      </c>
      <c r="K462" s="129"/>
      <c r="L462" s="309"/>
    </row>
    <row r="463" spans="1:12" x14ac:dyDescent="0.25">
      <c r="A463" s="127">
        <v>4</v>
      </c>
      <c r="B463" s="127">
        <v>2</v>
      </c>
      <c r="C463" s="127">
        <v>1</v>
      </c>
      <c r="D463" s="127">
        <v>3</v>
      </c>
      <c r="E463" s="127"/>
      <c r="F463" s="127" t="s">
        <v>77</v>
      </c>
      <c r="G463" s="129">
        <v>0</v>
      </c>
      <c r="H463" s="140">
        <v>0</v>
      </c>
      <c r="I463" s="140">
        <v>0</v>
      </c>
      <c r="J463" s="129">
        <f t="shared" si="49"/>
        <v>0</v>
      </c>
      <c r="K463" s="129"/>
      <c r="L463" s="309"/>
    </row>
    <row r="464" spans="1:12" ht="24" hidden="1" x14ac:dyDescent="0.25">
      <c r="A464" s="127">
        <v>4</v>
      </c>
      <c r="B464" s="127">
        <v>2</v>
      </c>
      <c r="C464" s="127">
        <v>2</v>
      </c>
      <c r="D464" s="127"/>
      <c r="E464" s="127"/>
      <c r="F464" s="128" t="s">
        <v>52</v>
      </c>
      <c r="G464" s="128"/>
      <c r="H464" s="128"/>
      <c r="I464" s="128"/>
      <c r="J464" s="129"/>
      <c r="K464" s="129"/>
      <c r="L464" s="309"/>
    </row>
    <row r="465" spans="1:12" ht="24" hidden="1" x14ac:dyDescent="0.25">
      <c r="A465" s="127">
        <v>4</v>
      </c>
      <c r="B465" s="127">
        <v>2</v>
      </c>
      <c r="C465" s="127">
        <v>2</v>
      </c>
      <c r="D465" s="127">
        <v>1</v>
      </c>
      <c r="E465" s="127"/>
      <c r="F465" s="127" t="s">
        <v>66</v>
      </c>
      <c r="G465" s="127"/>
      <c r="H465" s="127"/>
      <c r="I465" s="127"/>
      <c r="J465" s="129"/>
      <c r="K465" s="129"/>
      <c r="L465" s="309"/>
    </row>
    <row r="466" spans="1:12" hidden="1" x14ac:dyDescent="0.25">
      <c r="A466" s="127">
        <v>4</v>
      </c>
      <c r="B466" s="127">
        <v>2</v>
      </c>
      <c r="C466" s="127">
        <v>2</v>
      </c>
      <c r="D466" s="127">
        <v>2</v>
      </c>
      <c r="E466" s="127"/>
      <c r="F466" s="127" t="s">
        <v>67</v>
      </c>
      <c r="G466" s="127"/>
      <c r="H466" s="127"/>
      <c r="I466" s="127"/>
      <c r="J466" s="129"/>
      <c r="K466" s="129"/>
      <c r="L466" s="309"/>
    </row>
    <row r="467" spans="1:12" hidden="1" x14ac:dyDescent="0.25">
      <c r="A467" s="127">
        <v>4</v>
      </c>
      <c r="B467" s="127">
        <v>2</v>
      </c>
      <c r="C467" s="127">
        <v>2</v>
      </c>
      <c r="D467" s="127">
        <v>3</v>
      </c>
      <c r="E467" s="127"/>
      <c r="F467" s="127" t="s">
        <v>68</v>
      </c>
      <c r="G467" s="127"/>
      <c r="H467" s="127"/>
      <c r="I467" s="127"/>
      <c r="J467" s="129"/>
      <c r="K467" s="129"/>
      <c r="L467" s="309"/>
    </row>
    <row r="468" spans="1:12" hidden="1" x14ac:dyDescent="0.25">
      <c r="A468" s="127">
        <v>4</v>
      </c>
      <c r="B468" s="127">
        <v>2</v>
      </c>
      <c r="C468" s="127">
        <v>2</v>
      </c>
      <c r="D468" s="127">
        <v>4</v>
      </c>
      <c r="E468" s="127"/>
      <c r="F468" s="127" t="s">
        <v>69</v>
      </c>
      <c r="G468" s="127"/>
      <c r="H468" s="127"/>
      <c r="I468" s="127"/>
      <c r="J468" s="129"/>
      <c r="K468" s="129"/>
      <c r="L468" s="309"/>
    </row>
    <row r="469" spans="1:12" hidden="1" x14ac:dyDescent="0.25">
      <c r="A469" s="127">
        <v>4</v>
      </c>
      <c r="B469" s="127">
        <v>2</v>
      </c>
      <c r="C469" s="127">
        <v>2</v>
      </c>
      <c r="D469" s="127">
        <v>5</v>
      </c>
      <c r="E469" s="127"/>
      <c r="F469" s="127" t="s">
        <v>70</v>
      </c>
      <c r="G469" s="127"/>
      <c r="H469" s="127"/>
      <c r="I469" s="127"/>
      <c r="J469" s="129"/>
      <c r="K469" s="129"/>
      <c r="L469" s="309"/>
    </row>
    <row r="470" spans="1:12" hidden="1" x14ac:dyDescent="0.25">
      <c r="A470" s="126">
        <v>4</v>
      </c>
      <c r="B470" s="126">
        <v>3</v>
      </c>
      <c r="C470" s="126"/>
      <c r="D470" s="126"/>
      <c r="E470" s="126"/>
      <c r="F470" s="126" t="s">
        <v>440</v>
      </c>
      <c r="G470" s="126"/>
      <c r="H470" s="126"/>
      <c r="I470" s="126"/>
      <c r="J470" s="129"/>
      <c r="K470" s="129"/>
      <c r="L470" s="309"/>
    </row>
    <row r="471" spans="1:12" hidden="1" x14ac:dyDescent="0.25">
      <c r="A471" s="127">
        <v>4</v>
      </c>
      <c r="B471" s="127">
        <v>3</v>
      </c>
      <c r="C471" s="127">
        <v>1</v>
      </c>
      <c r="D471" s="127"/>
      <c r="E471" s="127"/>
      <c r="F471" s="128" t="s">
        <v>441</v>
      </c>
      <c r="G471" s="128"/>
      <c r="H471" s="128"/>
      <c r="I471" s="128"/>
      <c r="J471" s="129"/>
      <c r="K471" s="129"/>
      <c r="L471" s="309"/>
    </row>
    <row r="472" spans="1:12" ht="24" hidden="1" x14ac:dyDescent="0.25">
      <c r="A472" s="127">
        <v>4</v>
      </c>
      <c r="B472" s="127">
        <v>3</v>
      </c>
      <c r="C472" s="127">
        <v>1</v>
      </c>
      <c r="D472" s="127">
        <v>1</v>
      </c>
      <c r="E472" s="127"/>
      <c r="F472" s="127" t="s">
        <v>442</v>
      </c>
      <c r="G472" s="127"/>
      <c r="H472" s="127"/>
      <c r="I472" s="127"/>
      <c r="J472" s="129"/>
      <c r="K472" s="129"/>
      <c r="L472" s="309"/>
    </row>
    <row r="473" spans="1:12" hidden="1" x14ac:dyDescent="0.25">
      <c r="A473" s="127">
        <v>4</v>
      </c>
      <c r="B473" s="127">
        <v>3</v>
      </c>
      <c r="C473" s="127">
        <v>1</v>
      </c>
      <c r="D473" s="127">
        <v>9</v>
      </c>
      <c r="E473" s="127"/>
      <c r="F473" s="127" t="s">
        <v>443</v>
      </c>
      <c r="G473" s="127"/>
      <c r="H473" s="127"/>
      <c r="I473" s="127"/>
      <c r="J473" s="129"/>
      <c r="K473" s="129"/>
      <c r="L473" s="309"/>
    </row>
    <row r="474" spans="1:12" hidden="1" x14ac:dyDescent="0.25">
      <c r="A474" s="127">
        <v>4</v>
      </c>
      <c r="B474" s="127">
        <v>3</v>
      </c>
      <c r="C474" s="127">
        <v>2</v>
      </c>
      <c r="D474" s="127"/>
      <c r="E474" s="127"/>
      <c r="F474" s="128" t="s">
        <v>55</v>
      </c>
      <c r="G474" s="128"/>
      <c r="H474" s="128"/>
      <c r="I474" s="128"/>
      <c r="J474" s="129"/>
      <c r="K474" s="129"/>
      <c r="L474" s="309"/>
    </row>
    <row r="475" spans="1:12" ht="24" hidden="1" x14ac:dyDescent="0.25">
      <c r="A475" s="127">
        <v>4</v>
      </c>
      <c r="B475" s="127">
        <v>3</v>
      </c>
      <c r="C475" s="127">
        <v>2</v>
      </c>
      <c r="D475" s="127">
        <v>1</v>
      </c>
      <c r="E475" s="127"/>
      <c r="F475" s="127" t="s">
        <v>444</v>
      </c>
      <c r="G475" s="127"/>
      <c r="H475" s="127"/>
      <c r="I475" s="127"/>
      <c r="J475" s="129"/>
      <c r="K475" s="129"/>
      <c r="L475" s="309"/>
    </row>
    <row r="476" spans="1:12" ht="24" hidden="1" x14ac:dyDescent="0.25">
      <c r="A476" s="127">
        <v>4</v>
      </c>
      <c r="B476" s="127">
        <v>3</v>
      </c>
      <c r="C476" s="127">
        <v>2</v>
      </c>
      <c r="D476" s="127">
        <v>2</v>
      </c>
      <c r="E476" s="127"/>
      <c r="F476" s="127" t="s">
        <v>445</v>
      </c>
      <c r="G476" s="127"/>
      <c r="H476" s="127"/>
      <c r="I476" s="127"/>
      <c r="J476" s="129"/>
      <c r="K476" s="129"/>
      <c r="L476" s="309"/>
    </row>
    <row r="477" spans="1:12" ht="24" hidden="1" x14ac:dyDescent="0.25">
      <c r="A477" s="127">
        <v>4</v>
      </c>
      <c r="B477" s="127">
        <v>3</v>
      </c>
      <c r="C477" s="127">
        <v>2</v>
      </c>
      <c r="D477" s="127">
        <v>3</v>
      </c>
      <c r="E477" s="127"/>
      <c r="F477" s="127" t="s">
        <v>446</v>
      </c>
      <c r="G477" s="127"/>
      <c r="H477" s="127"/>
      <c r="I477" s="127"/>
      <c r="J477" s="129"/>
      <c r="K477" s="129"/>
      <c r="L477" s="309"/>
    </row>
    <row r="478" spans="1:12" ht="24" hidden="1" x14ac:dyDescent="0.25">
      <c r="A478" s="127">
        <v>4</v>
      </c>
      <c r="B478" s="127">
        <v>3</v>
      </c>
      <c r="C478" s="127">
        <v>2</v>
      </c>
      <c r="D478" s="127">
        <v>4</v>
      </c>
      <c r="E478" s="127"/>
      <c r="F478" s="127" t="s">
        <v>447</v>
      </c>
      <c r="G478" s="127"/>
      <c r="H478" s="127"/>
      <c r="I478" s="127"/>
      <c r="J478" s="129"/>
      <c r="K478" s="129"/>
      <c r="L478" s="309"/>
    </row>
    <row r="479" spans="1:12" ht="24" hidden="1" x14ac:dyDescent="0.25">
      <c r="A479" s="127">
        <v>4</v>
      </c>
      <c r="B479" s="127">
        <v>3</v>
      </c>
      <c r="C479" s="127">
        <v>2</v>
      </c>
      <c r="D479" s="127">
        <v>5</v>
      </c>
      <c r="E479" s="127"/>
      <c r="F479" s="127" t="s">
        <v>448</v>
      </c>
      <c r="G479" s="127"/>
      <c r="H479" s="127"/>
      <c r="I479" s="127"/>
      <c r="J479" s="129"/>
      <c r="K479" s="129"/>
      <c r="L479" s="309"/>
    </row>
    <row r="480" spans="1:12" ht="24" hidden="1" x14ac:dyDescent="0.25">
      <c r="A480" s="127">
        <v>4</v>
      </c>
      <c r="B480" s="127">
        <v>3</v>
      </c>
      <c r="C480" s="127">
        <v>3</v>
      </c>
      <c r="D480" s="127"/>
      <c r="E480" s="127"/>
      <c r="F480" s="128" t="s">
        <v>56</v>
      </c>
      <c r="G480" s="128"/>
      <c r="H480" s="128"/>
      <c r="I480" s="128"/>
      <c r="J480" s="129"/>
      <c r="K480" s="129"/>
      <c r="L480" s="309"/>
    </row>
    <row r="481" spans="1:12" ht="24" hidden="1" x14ac:dyDescent="0.25">
      <c r="A481" s="127">
        <v>4</v>
      </c>
      <c r="B481" s="127">
        <v>3</v>
      </c>
      <c r="C481" s="127">
        <v>3</v>
      </c>
      <c r="D481" s="127">
        <v>1</v>
      </c>
      <c r="E481" s="127"/>
      <c r="F481" s="127" t="s">
        <v>56</v>
      </c>
      <c r="G481" s="127"/>
      <c r="H481" s="127"/>
      <c r="I481" s="127"/>
      <c r="J481" s="129"/>
      <c r="K481" s="129"/>
      <c r="L481" s="309"/>
    </row>
    <row r="482" spans="1:12" hidden="1" x14ac:dyDescent="0.25">
      <c r="A482" s="127">
        <v>4</v>
      </c>
      <c r="B482" s="127">
        <v>3</v>
      </c>
      <c r="C482" s="127">
        <v>4</v>
      </c>
      <c r="D482" s="127"/>
      <c r="E482" s="127"/>
      <c r="F482" s="128" t="s">
        <v>57</v>
      </c>
      <c r="G482" s="128"/>
      <c r="H482" s="128"/>
      <c r="I482" s="128"/>
      <c r="J482" s="129"/>
      <c r="K482" s="129"/>
      <c r="L482" s="309"/>
    </row>
    <row r="483" spans="1:12" hidden="1" x14ac:dyDescent="0.25">
      <c r="A483" s="127">
        <v>4</v>
      </c>
      <c r="B483" s="127">
        <v>3</v>
      </c>
      <c r="C483" s="127">
        <v>4</v>
      </c>
      <c r="D483" s="127">
        <v>1</v>
      </c>
      <c r="E483" s="127"/>
      <c r="F483" s="127" t="s">
        <v>449</v>
      </c>
      <c r="G483" s="127"/>
      <c r="H483" s="127"/>
      <c r="I483" s="127"/>
      <c r="J483" s="129"/>
      <c r="K483" s="129"/>
      <c r="L483" s="309"/>
    </row>
    <row r="484" spans="1:12" hidden="1" x14ac:dyDescent="0.25">
      <c r="A484" s="127">
        <v>4</v>
      </c>
      <c r="B484" s="127">
        <v>3</v>
      </c>
      <c r="C484" s="127">
        <v>9</v>
      </c>
      <c r="D484" s="127"/>
      <c r="E484" s="127"/>
      <c r="F484" s="128" t="s">
        <v>58</v>
      </c>
      <c r="G484" s="128"/>
      <c r="H484" s="128"/>
      <c r="I484" s="128"/>
      <c r="J484" s="129"/>
      <c r="K484" s="129"/>
      <c r="L484" s="309"/>
    </row>
    <row r="485" spans="1:12" hidden="1" x14ac:dyDescent="0.25">
      <c r="A485" s="127">
        <v>4</v>
      </c>
      <c r="B485" s="127">
        <v>3</v>
      </c>
      <c r="C485" s="127">
        <v>9</v>
      </c>
      <c r="D485" s="127">
        <v>1</v>
      </c>
      <c r="E485" s="127"/>
      <c r="F485" s="127" t="s">
        <v>450</v>
      </c>
      <c r="G485" s="127"/>
      <c r="H485" s="127"/>
      <c r="I485" s="127"/>
      <c r="J485" s="129"/>
      <c r="K485" s="129"/>
      <c r="L485" s="309"/>
    </row>
    <row r="486" spans="1:12" hidden="1" x14ac:dyDescent="0.25">
      <c r="A486" s="127">
        <v>4</v>
      </c>
      <c r="B486" s="127">
        <v>3</v>
      </c>
      <c r="C486" s="127">
        <v>9</v>
      </c>
      <c r="D486" s="127">
        <v>2</v>
      </c>
      <c r="E486" s="127"/>
      <c r="F486" s="127" t="s">
        <v>451</v>
      </c>
      <c r="G486" s="127"/>
      <c r="H486" s="127"/>
      <c r="I486" s="127"/>
      <c r="J486" s="129"/>
      <c r="K486" s="129"/>
      <c r="L486" s="309"/>
    </row>
    <row r="487" spans="1:12" ht="24" hidden="1" x14ac:dyDescent="0.25">
      <c r="A487" s="127">
        <v>4</v>
      </c>
      <c r="B487" s="127">
        <v>3</v>
      </c>
      <c r="C487" s="127">
        <v>9</v>
      </c>
      <c r="D487" s="127">
        <v>3</v>
      </c>
      <c r="E487" s="127"/>
      <c r="F487" s="127" t="s">
        <v>452</v>
      </c>
      <c r="G487" s="127"/>
      <c r="H487" s="127"/>
      <c r="I487" s="127"/>
      <c r="J487" s="129"/>
      <c r="K487" s="129"/>
      <c r="L487" s="309"/>
    </row>
    <row r="488" spans="1:12" ht="24" hidden="1" x14ac:dyDescent="0.25">
      <c r="A488" s="127">
        <v>4</v>
      </c>
      <c r="B488" s="127">
        <v>3</v>
      </c>
      <c r="C488" s="127">
        <v>9</v>
      </c>
      <c r="D488" s="127">
        <v>4</v>
      </c>
      <c r="E488" s="127"/>
      <c r="F488" s="127" t="s">
        <v>453</v>
      </c>
      <c r="G488" s="127"/>
      <c r="H488" s="127"/>
      <c r="I488" s="127"/>
      <c r="J488" s="129"/>
      <c r="K488" s="129"/>
      <c r="L488" s="309"/>
    </row>
    <row r="489" spans="1:12" hidden="1" x14ac:dyDescent="0.25">
      <c r="A489" s="127">
        <v>4</v>
      </c>
      <c r="B489" s="127">
        <v>3</v>
      </c>
      <c r="C489" s="127">
        <v>9</v>
      </c>
      <c r="D489" s="127">
        <v>5</v>
      </c>
      <c r="E489" s="127"/>
      <c r="F489" s="127" t="s">
        <v>148</v>
      </c>
      <c r="G489" s="127"/>
      <c r="H489" s="127"/>
      <c r="I489" s="127"/>
      <c r="J489" s="129"/>
      <c r="K489" s="129"/>
      <c r="L489" s="309"/>
    </row>
    <row r="490" spans="1:12" hidden="1" x14ac:dyDescent="0.25">
      <c r="A490" s="127">
        <v>4</v>
      </c>
      <c r="B490" s="127">
        <v>3</v>
      </c>
      <c r="C490" s="127">
        <v>9</v>
      </c>
      <c r="D490" s="127">
        <v>6</v>
      </c>
      <c r="E490" s="127"/>
      <c r="F490" s="127" t="s">
        <v>454</v>
      </c>
      <c r="G490" s="127"/>
      <c r="H490" s="127"/>
      <c r="I490" s="127"/>
      <c r="J490" s="129"/>
      <c r="K490" s="129"/>
      <c r="L490" s="309"/>
    </row>
    <row r="491" spans="1:12" hidden="1" x14ac:dyDescent="0.25">
      <c r="A491" s="127">
        <v>4</v>
      </c>
      <c r="B491" s="127">
        <v>3</v>
      </c>
      <c r="C491" s="127">
        <v>9</v>
      </c>
      <c r="D491" s="127">
        <v>9</v>
      </c>
      <c r="E491" s="127"/>
      <c r="F491" s="127" t="s">
        <v>58</v>
      </c>
      <c r="G491" s="127"/>
      <c r="H491" s="127"/>
      <c r="I491" s="127"/>
      <c r="J491" s="129"/>
      <c r="K491" s="129"/>
      <c r="L491" s="309"/>
    </row>
    <row r="492" spans="1:12" x14ac:dyDescent="0.25">
      <c r="A492" s="136">
        <v>5</v>
      </c>
      <c r="B492" s="136"/>
      <c r="C492" s="136"/>
      <c r="D492" s="136"/>
      <c r="E492" s="136"/>
      <c r="F492" s="136" t="s">
        <v>455</v>
      </c>
      <c r="G492" s="131">
        <f>G493+G594+G627+G637+G652</f>
        <v>16336020</v>
      </c>
      <c r="H492" s="131">
        <f>H493+H594+H627+H637+H652</f>
        <v>5430820</v>
      </c>
      <c r="I492" s="131">
        <f>I493+I594+I627+I637+I652</f>
        <v>0</v>
      </c>
      <c r="J492" s="131">
        <f>J493+J594+J627+J637+J652</f>
        <v>5430820</v>
      </c>
      <c r="K492" s="131"/>
      <c r="L492" s="309"/>
    </row>
    <row r="493" spans="1:12" x14ac:dyDescent="0.25">
      <c r="A493" s="126">
        <v>5</v>
      </c>
      <c r="B493" s="126">
        <v>1</v>
      </c>
      <c r="C493" s="126"/>
      <c r="D493" s="126"/>
      <c r="E493" s="126"/>
      <c r="F493" s="126" t="s">
        <v>456</v>
      </c>
      <c r="G493" s="145">
        <f>+G494+G509+G541</f>
        <v>16196320</v>
      </c>
      <c r="H493" s="145">
        <f>+H494+H509+H541</f>
        <v>5252320</v>
      </c>
      <c r="I493" s="145">
        <f>+I494+I509+I541</f>
        <v>0</v>
      </c>
      <c r="J493" s="145">
        <f>+J494+J509+J541</f>
        <v>5252320</v>
      </c>
      <c r="K493" s="145"/>
      <c r="L493" s="309"/>
    </row>
    <row r="494" spans="1:12" x14ac:dyDescent="0.25">
      <c r="A494" s="127">
        <v>5</v>
      </c>
      <c r="B494" s="127">
        <v>1</v>
      </c>
      <c r="C494" s="127">
        <v>1</v>
      </c>
      <c r="D494" s="127"/>
      <c r="E494" s="127"/>
      <c r="F494" s="128" t="s">
        <v>218</v>
      </c>
      <c r="G494" s="468">
        <f>+G495+G497+G499+G503+G506</f>
        <v>11693719</v>
      </c>
      <c r="H494" s="468">
        <f t="shared" ref="H494:J494" si="50">+H495+H497+H499+H503+H506</f>
        <v>2835746</v>
      </c>
      <c r="I494" s="468">
        <f t="shared" si="50"/>
        <v>0</v>
      </c>
      <c r="J494" s="468">
        <f t="shared" si="50"/>
        <v>2835746</v>
      </c>
      <c r="K494" s="468"/>
      <c r="L494" s="309"/>
    </row>
    <row r="495" spans="1:12" ht="24" x14ac:dyDescent="0.25">
      <c r="A495" s="127">
        <v>5</v>
      </c>
      <c r="B495" s="127">
        <v>1</v>
      </c>
      <c r="C495" s="127">
        <v>1</v>
      </c>
      <c r="D495" s="127">
        <v>1</v>
      </c>
      <c r="E495" s="127"/>
      <c r="F495" s="127" t="s">
        <v>457</v>
      </c>
      <c r="G495" s="129">
        <v>7499568</v>
      </c>
      <c r="H495" s="129">
        <f t="shared" ref="H495:I495" si="51">H496</f>
        <v>2403644</v>
      </c>
      <c r="I495" s="129">
        <f t="shared" si="51"/>
        <v>0</v>
      </c>
      <c r="J495" s="129">
        <f>J496</f>
        <v>2403644</v>
      </c>
      <c r="K495" s="129"/>
      <c r="L495" s="309"/>
    </row>
    <row r="496" spans="1:12" x14ac:dyDescent="0.25">
      <c r="A496" s="127"/>
      <c r="B496" s="127"/>
      <c r="C496" s="127"/>
      <c r="D496" s="127"/>
      <c r="E496" s="127">
        <v>31</v>
      </c>
      <c r="F496" s="127" t="s">
        <v>756</v>
      </c>
      <c r="G496" s="140">
        <v>7949568</v>
      </c>
      <c r="H496" s="129">
        <v>2403644</v>
      </c>
      <c r="I496" s="127"/>
      <c r="J496" s="129">
        <f>H496</f>
        <v>2403644</v>
      </c>
      <c r="K496" s="129"/>
      <c r="L496" s="309"/>
    </row>
    <row r="497" spans="1:12" x14ac:dyDescent="0.25">
      <c r="A497" s="127">
        <v>5</v>
      </c>
      <c r="B497" s="127">
        <v>1</v>
      </c>
      <c r="C497" s="127">
        <v>1</v>
      </c>
      <c r="D497" s="127">
        <v>2</v>
      </c>
      <c r="E497" s="127"/>
      <c r="F497" s="127" t="s">
        <v>458</v>
      </c>
      <c r="G497" s="129">
        <f t="shared" ref="G497:I497" si="52">+G498</f>
        <v>1530014</v>
      </c>
      <c r="H497" s="129">
        <f t="shared" si="52"/>
        <v>172094</v>
      </c>
      <c r="I497" s="129">
        <f t="shared" si="52"/>
        <v>0</v>
      </c>
      <c r="J497" s="129">
        <f>+J498</f>
        <v>172094</v>
      </c>
      <c r="K497" s="129"/>
      <c r="L497" s="309"/>
    </row>
    <row r="498" spans="1:12" x14ac:dyDescent="0.25">
      <c r="A498" s="127"/>
      <c r="B498" s="127"/>
      <c r="C498" s="127"/>
      <c r="D498" s="127"/>
      <c r="E498" s="127">
        <v>11</v>
      </c>
      <c r="F498" s="127" t="s">
        <v>757</v>
      </c>
      <c r="G498" s="140">
        <v>1530014</v>
      </c>
      <c r="H498" s="129">
        <v>172094</v>
      </c>
      <c r="I498" s="127"/>
      <c r="J498" s="129">
        <f>H498</f>
        <v>172094</v>
      </c>
      <c r="K498" s="129"/>
      <c r="L498" s="309"/>
    </row>
    <row r="499" spans="1:12" x14ac:dyDescent="0.25">
      <c r="A499" s="127">
        <v>5</v>
      </c>
      <c r="B499" s="127">
        <v>1</v>
      </c>
      <c r="C499" s="127">
        <v>1</v>
      </c>
      <c r="D499" s="127">
        <v>3</v>
      </c>
      <c r="E499" s="127"/>
      <c r="F499" s="127" t="s">
        <v>459</v>
      </c>
      <c r="G499" s="129">
        <f>+G500+G501+G502</f>
        <v>912557</v>
      </c>
      <c r="H499" s="129">
        <f t="shared" ref="H499:J499" si="53">+H500+H501+H502</f>
        <v>4586</v>
      </c>
      <c r="I499" s="129">
        <f t="shared" si="53"/>
        <v>0</v>
      </c>
      <c r="J499" s="129">
        <f t="shared" si="53"/>
        <v>4586</v>
      </c>
      <c r="K499" s="129"/>
      <c r="L499" s="309"/>
    </row>
    <row r="500" spans="1:12" x14ac:dyDescent="0.25">
      <c r="A500" s="127"/>
      <c r="B500" s="127"/>
      <c r="C500" s="127"/>
      <c r="D500" s="127"/>
      <c r="E500" s="127"/>
      <c r="F500" s="127" t="s">
        <v>758</v>
      </c>
      <c r="G500" s="140">
        <v>285982</v>
      </c>
      <c r="H500" s="129">
        <v>2338</v>
      </c>
      <c r="I500" s="127"/>
      <c r="J500" s="129">
        <f t="shared" ref="J500:J502" si="54">H500</f>
        <v>2338</v>
      </c>
      <c r="K500" s="129"/>
      <c r="L500" s="309"/>
    </row>
    <row r="501" spans="1:12" x14ac:dyDescent="0.25">
      <c r="A501" s="127"/>
      <c r="B501" s="127"/>
      <c r="C501" s="127"/>
      <c r="D501" s="127"/>
      <c r="E501" s="127"/>
      <c r="F501" s="127" t="s">
        <v>759</v>
      </c>
      <c r="G501" s="140">
        <v>626575</v>
      </c>
      <c r="H501" s="129">
        <v>2248</v>
      </c>
      <c r="I501" s="127"/>
      <c r="J501" s="129">
        <f t="shared" si="54"/>
        <v>2248</v>
      </c>
      <c r="K501" s="129"/>
      <c r="L501" s="309"/>
    </row>
    <row r="502" spans="1:12" x14ac:dyDescent="0.25">
      <c r="A502" s="127"/>
      <c r="B502" s="127"/>
      <c r="C502" s="127"/>
      <c r="D502" s="127"/>
      <c r="E502" s="127"/>
      <c r="F502" s="127" t="s">
        <v>834</v>
      </c>
      <c r="G502" s="140">
        <v>0</v>
      </c>
      <c r="H502" s="129">
        <v>0</v>
      </c>
      <c r="I502" s="127"/>
      <c r="J502" s="129">
        <f t="shared" si="54"/>
        <v>0</v>
      </c>
      <c r="K502" s="129"/>
      <c r="L502" s="309"/>
    </row>
    <row r="503" spans="1:12" x14ac:dyDescent="0.25">
      <c r="A503" s="127">
        <v>5</v>
      </c>
      <c r="B503" s="127">
        <v>1</v>
      </c>
      <c r="C503" s="127">
        <v>1</v>
      </c>
      <c r="D503" s="127">
        <v>4</v>
      </c>
      <c r="E503" s="127"/>
      <c r="F503" s="127" t="s">
        <v>460</v>
      </c>
      <c r="G503" s="129">
        <f t="shared" ref="G503:I503" si="55">+G504+G505</f>
        <v>1751580</v>
      </c>
      <c r="H503" s="129">
        <f t="shared" si="55"/>
        <v>255422</v>
      </c>
      <c r="I503" s="129">
        <f t="shared" si="55"/>
        <v>0</v>
      </c>
      <c r="J503" s="129">
        <f>+J504+J505</f>
        <v>255422</v>
      </c>
      <c r="K503" s="129"/>
      <c r="L503" s="309"/>
    </row>
    <row r="504" spans="1:12" x14ac:dyDescent="0.25">
      <c r="A504" s="127"/>
      <c r="B504" s="127"/>
      <c r="C504" s="127"/>
      <c r="D504" s="127"/>
      <c r="E504" s="127"/>
      <c r="F504" s="127" t="s">
        <v>761</v>
      </c>
      <c r="G504" s="140">
        <v>1289192</v>
      </c>
      <c r="H504" s="129">
        <v>168100</v>
      </c>
      <c r="I504" s="127"/>
      <c r="J504" s="129">
        <f>H504</f>
        <v>168100</v>
      </c>
      <c r="K504" s="129"/>
      <c r="L504" s="309"/>
    </row>
    <row r="505" spans="1:12" x14ac:dyDescent="0.25">
      <c r="A505" s="127"/>
      <c r="B505" s="127"/>
      <c r="C505" s="127"/>
      <c r="D505" s="127"/>
      <c r="E505" s="127"/>
      <c r="F505" s="127" t="s">
        <v>760</v>
      </c>
      <c r="G505" s="140">
        <v>462388</v>
      </c>
      <c r="H505" s="129">
        <v>87322</v>
      </c>
      <c r="I505" s="127"/>
      <c r="J505" s="129">
        <f>H505</f>
        <v>87322</v>
      </c>
      <c r="K505" s="129"/>
      <c r="L505" s="309"/>
    </row>
    <row r="506" spans="1:12" x14ac:dyDescent="0.25">
      <c r="A506" s="127">
        <v>5</v>
      </c>
      <c r="B506" s="127">
        <v>1</v>
      </c>
      <c r="C506" s="127">
        <v>1</v>
      </c>
      <c r="D506" s="127">
        <v>5</v>
      </c>
      <c r="E506" s="127"/>
      <c r="F506" s="127" t="s">
        <v>461</v>
      </c>
      <c r="G506" s="140">
        <f>G507</f>
        <v>0</v>
      </c>
      <c r="H506" s="140">
        <f t="shared" ref="H506:I506" si="56">H507</f>
        <v>0</v>
      </c>
      <c r="I506" s="140">
        <f t="shared" si="56"/>
        <v>0</v>
      </c>
      <c r="J506" s="129">
        <v>0</v>
      </c>
      <c r="K506" s="129"/>
      <c r="L506" s="309"/>
    </row>
    <row r="507" spans="1:12" x14ac:dyDescent="0.25">
      <c r="A507" s="127"/>
      <c r="B507" s="127"/>
      <c r="C507" s="127"/>
      <c r="D507" s="127"/>
      <c r="E507" s="127"/>
      <c r="F507" s="127" t="s">
        <v>837</v>
      </c>
      <c r="G507" s="140">
        <v>0</v>
      </c>
      <c r="H507" s="129">
        <v>0</v>
      </c>
      <c r="I507" s="140"/>
      <c r="J507" s="129">
        <v>0</v>
      </c>
      <c r="K507" s="129"/>
      <c r="L507" s="309"/>
    </row>
    <row r="508" spans="1:12" x14ac:dyDescent="0.25">
      <c r="A508" s="127">
        <v>5</v>
      </c>
      <c r="B508" s="127">
        <v>1</v>
      </c>
      <c r="C508" s="127">
        <v>1</v>
      </c>
      <c r="D508" s="127">
        <v>6</v>
      </c>
      <c r="E508" s="127"/>
      <c r="F508" s="127" t="s">
        <v>462</v>
      </c>
      <c r="G508" s="140">
        <v>0</v>
      </c>
      <c r="H508" s="129"/>
      <c r="I508" s="140"/>
      <c r="J508" s="129">
        <f t="shared" ref="J508" si="57">+G508+H508-I508</f>
        <v>0</v>
      </c>
      <c r="K508" s="129"/>
      <c r="L508" s="309"/>
    </row>
    <row r="509" spans="1:12" x14ac:dyDescent="0.25">
      <c r="A509" s="125">
        <v>5</v>
      </c>
      <c r="B509" s="125">
        <v>1</v>
      </c>
      <c r="C509" s="125">
        <v>2</v>
      </c>
      <c r="D509" s="125"/>
      <c r="E509" s="125"/>
      <c r="F509" s="149" t="s">
        <v>63</v>
      </c>
      <c r="G509" s="469">
        <f t="shared" ref="G509:J509" si="58">+G510+G517+G520+G521+G525+G528+G530+G534+G536</f>
        <v>554279</v>
      </c>
      <c r="H509" s="469">
        <f t="shared" si="58"/>
        <v>110976</v>
      </c>
      <c r="I509" s="469">
        <f t="shared" si="58"/>
        <v>0</v>
      </c>
      <c r="J509" s="469">
        <f t="shared" si="58"/>
        <v>110976</v>
      </c>
      <c r="K509" s="469"/>
      <c r="L509" s="309"/>
    </row>
    <row r="510" spans="1:12" ht="24" x14ac:dyDescent="0.25">
      <c r="A510" s="127">
        <v>5</v>
      </c>
      <c r="B510" s="127">
        <v>1</v>
      </c>
      <c r="C510" s="127">
        <v>2</v>
      </c>
      <c r="D510" s="127">
        <v>1</v>
      </c>
      <c r="E510" s="127"/>
      <c r="F510" s="127" t="s">
        <v>463</v>
      </c>
      <c r="G510" s="129">
        <f t="shared" ref="G510:J510" si="59">SUM(G511:G516)</f>
        <v>207261</v>
      </c>
      <c r="H510" s="129">
        <f t="shared" si="59"/>
        <v>52164</v>
      </c>
      <c r="I510" s="129">
        <f t="shared" si="59"/>
        <v>0</v>
      </c>
      <c r="J510" s="129">
        <f t="shared" si="59"/>
        <v>52164</v>
      </c>
      <c r="K510" s="129"/>
      <c r="L510" s="309"/>
    </row>
    <row r="511" spans="1:12" x14ac:dyDescent="0.25">
      <c r="A511" s="127"/>
      <c r="B511" s="127"/>
      <c r="C511" s="127"/>
      <c r="D511" s="127"/>
      <c r="E511" s="127"/>
      <c r="F511" s="127" t="s">
        <v>762</v>
      </c>
      <c r="G511" s="129">
        <v>55047</v>
      </c>
      <c r="H511" s="129">
        <v>4660</v>
      </c>
      <c r="I511" s="127"/>
      <c r="J511" s="129">
        <f>H511</f>
        <v>4660</v>
      </c>
      <c r="K511" s="129"/>
      <c r="L511" s="309"/>
    </row>
    <row r="512" spans="1:12" x14ac:dyDescent="0.25">
      <c r="A512" s="127"/>
      <c r="B512" s="127"/>
      <c r="C512" s="127"/>
      <c r="D512" s="127"/>
      <c r="E512" s="127"/>
      <c r="F512" s="127" t="s">
        <v>763</v>
      </c>
      <c r="G512" s="129">
        <v>0</v>
      </c>
      <c r="H512" s="129">
        <v>0</v>
      </c>
      <c r="I512" s="127"/>
      <c r="J512" s="129">
        <f t="shared" ref="J512:J516" si="60">H512</f>
        <v>0</v>
      </c>
      <c r="K512" s="129"/>
      <c r="L512" s="309"/>
    </row>
    <row r="513" spans="1:12" ht="24" x14ac:dyDescent="0.25">
      <c r="A513" s="127"/>
      <c r="B513" s="127"/>
      <c r="C513" s="127"/>
      <c r="D513" s="127"/>
      <c r="E513" s="127"/>
      <c r="F513" s="127" t="s">
        <v>764</v>
      </c>
      <c r="G513" s="129">
        <v>123729</v>
      </c>
      <c r="H513" s="129">
        <v>38126</v>
      </c>
      <c r="I513" s="127"/>
      <c r="J513" s="129">
        <f t="shared" si="60"/>
        <v>38126</v>
      </c>
      <c r="K513" s="129"/>
      <c r="L513" s="309"/>
    </row>
    <row r="514" spans="1:12" x14ac:dyDescent="0.25">
      <c r="A514" s="127"/>
      <c r="B514" s="127"/>
      <c r="C514" s="127"/>
      <c r="D514" s="127"/>
      <c r="E514" s="127"/>
      <c r="F514" s="127" t="s">
        <v>765</v>
      </c>
      <c r="G514" s="129">
        <v>7657</v>
      </c>
      <c r="H514" s="129">
        <v>2237</v>
      </c>
      <c r="I514" s="127"/>
      <c r="J514" s="129">
        <f t="shared" si="60"/>
        <v>2237</v>
      </c>
      <c r="K514" s="129"/>
      <c r="L514" s="309"/>
    </row>
    <row r="515" spans="1:12" x14ac:dyDescent="0.25">
      <c r="A515" s="127"/>
      <c r="B515" s="127"/>
      <c r="C515" s="127"/>
      <c r="D515" s="127"/>
      <c r="E515" s="127"/>
      <c r="F515" s="127" t="s">
        <v>766</v>
      </c>
      <c r="G515" s="129">
        <v>20828</v>
      </c>
      <c r="H515" s="129">
        <v>7141</v>
      </c>
      <c r="I515" s="127"/>
      <c r="J515" s="129">
        <f t="shared" si="60"/>
        <v>7141</v>
      </c>
      <c r="K515" s="129"/>
      <c r="L515" s="309"/>
    </row>
    <row r="516" spans="1:12" x14ac:dyDescent="0.25">
      <c r="A516" s="127"/>
      <c r="B516" s="127"/>
      <c r="C516" s="127"/>
      <c r="D516" s="127"/>
      <c r="E516" s="127"/>
      <c r="F516" s="127" t="s">
        <v>767</v>
      </c>
      <c r="G516" s="129">
        <v>0</v>
      </c>
      <c r="H516" s="129">
        <v>0</v>
      </c>
      <c r="I516" s="127"/>
      <c r="J516" s="129">
        <f t="shared" si="60"/>
        <v>0</v>
      </c>
      <c r="K516" s="129"/>
      <c r="L516" s="309"/>
    </row>
    <row r="517" spans="1:12" x14ac:dyDescent="0.25">
      <c r="A517" s="127">
        <v>5</v>
      </c>
      <c r="B517" s="127">
        <v>1</v>
      </c>
      <c r="C517" s="127">
        <v>2</v>
      </c>
      <c r="D517" s="127">
        <v>2</v>
      </c>
      <c r="E517" s="127"/>
      <c r="F517" s="127" t="s">
        <v>464</v>
      </c>
      <c r="G517" s="129">
        <f t="shared" ref="G517:J517" si="61">SUM(G518:G519)</f>
        <v>231916</v>
      </c>
      <c r="H517" s="129">
        <f t="shared" si="61"/>
        <v>34293</v>
      </c>
      <c r="I517" s="129">
        <f t="shared" si="61"/>
        <v>0</v>
      </c>
      <c r="J517" s="129">
        <f t="shared" si="61"/>
        <v>34293</v>
      </c>
      <c r="K517" s="129"/>
      <c r="L517" s="309"/>
    </row>
    <row r="518" spans="1:12" x14ac:dyDescent="0.25">
      <c r="A518" s="127"/>
      <c r="B518" s="127"/>
      <c r="C518" s="127"/>
      <c r="D518" s="127"/>
      <c r="E518" s="127"/>
      <c r="F518" s="127" t="s">
        <v>768</v>
      </c>
      <c r="G518" s="129">
        <v>230057</v>
      </c>
      <c r="H518" s="129">
        <v>34293</v>
      </c>
      <c r="I518" s="127"/>
      <c r="J518" s="129">
        <f>H518</f>
        <v>34293</v>
      </c>
      <c r="K518" s="129"/>
      <c r="L518" s="309"/>
    </row>
    <row r="519" spans="1:12" x14ac:dyDescent="0.25">
      <c r="A519" s="127"/>
      <c r="B519" s="127"/>
      <c r="C519" s="127"/>
      <c r="D519" s="127"/>
      <c r="E519" s="127"/>
      <c r="F519" s="127" t="s">
        <v>769</v>
      </c>
      <c r="G519" s="129">
        <v>1859</v>
      </c>
      <c r="H519" s="129">
        <v>0</v>
      </c>
      <c r="I519" s="127"/>
      <c r="J519" s="129">
        <f>H519</f>
        <v>0</v>
      </c>
      <c r="K519" s="129"/>
      <c r="L519" s="309"/>
    </row>
    <row r="520" spans="1:12" ht="24" x14ac:dyDescent="0.25">
      <c r="A520" s="127">
        <v>5</v>
      </c>
      <c r="B520" s="127">
        <v>1</v>
      </c>
      <c r="C520" s="127">
        <v>2</v>
      </c>
      <c r="D520" s="127">
        <v>3</v>
      </c>
      <c r="E520" s="127"/>
      <c r="F520" s="127" t="s">
        <v>465</v>
      </c>
      <c r="G520" s="127"/>
      <c r="H520" s="129"/>
      <c r="I520" s="127"/>
      <c r="J520" s="129">
        <f t="shared" ref="J520" si="62">+G520+H520-I520</f>
        <v>0</v>
      </c>
      <c r="K520" s="129"/>
      <c r="L520" s="309"/>
    </row>
    <row r="521" spans="1:12" ht="24" x14ac:dyDescent="0.25">
      <c r="A521" s="127">
        <v>5</v>
      </c>
      <c r="B521" s="127">
        <v>1</v>
      </c>
      <c r="C521" s="127">
        <v>2</v>
      </c>
      <c r="D521" s="127">
        <v>4</v>
      </c>
      <c r="E521" s="127"/>
      <c r="F521" s="127" t="s">
        <v>466</v>
      </c>
      <c r="G521" s="129">
        <f t="shared" ref="G521:J521" si="63">SUM(G522:G524)</f>
        <v>16640</v>
      </c>
      <c r="H521" s="129">
        <f t="shared" si="63"/>
        <v>6006</v>
      </c>
      <c r="I521" s="129">
        <f t="shared" si="63"/>
        <v>0</v>
      </c>
      <c r="J521" s="129">
        <f t="shared" si="63"/>
        <v>6006</v>
      </c>
      <c r="K521" s="129"/>
      <c r="L521" s="309"/>
    </row>
    <row r="522" spans="1:12" x14ac:dyDescent="0.25">
      <c r="A522" s="127"/>
      <c r="B522" s="127"/>
      <c r="C522" s="127"/>
      <c r="D522" s="127"/>
      <c r="E522" s="127"/>
      <c r="F522" s="127" t="s">
        <v>770</v>
      </c>
      <c r="G522" s="129">
        <v>2909</v>
      </c>
      <c r="H522" s="129">
        <v>2078</v>
      </c>
      <c r="I522" s="127"/>
      <c r="J522" s="129">
        <f>H522</f>
        <v>2078</v>
      </c>
      <c r="K522" s="129"/>
      <c r="L522" s="309"/>
    </row>
    <row r="523" spans="1:12" x14ac:dyDescent="0.25">
      <c r="A523" s="127"/>
      <c r="B523" s="127"/>
      <c r="C523" s="127"/>
      <c r="D523" s="127"/>
      <c r="E523" s="127"/>
      <c r="F523" s="127" t="s">
        <v>771</v>
      </c>
      <c r="G523" s="129">
        <v>11207</v>
      </c>
      <c r="H523" s="129">
        <v>3928</v>
      </c>
      <c r="I523" s="127"/>
      <c r="J523" s="129">
        <f t="shared" ref="J523:J524" si="64">H523</f>
        <v>3928</v>
      </c>
      <c r="K523" s="129"/>
      <c r="L523" s="309"/>
    </row>
    <row r="524" spans="1:12" ht="24" x14ac:dyDescent="0.25">
      <c r="A524" s="127"/>
      <c r="B524" s="127"/>
      <c r="C524" s="127"/>
      <c r="D524" s="127"/>
      <c r="E524" s="127"/>
      <c r="F524" s="127" t="s">
        <v>772</v>
      </c>
      <c r="G524" s="129">
        <v>2524</v>
      </c>
      <c r="H524" s="129">
        <v>0</v>
      </c>
      <c r="I524" s="127"/>
      <c r="J524" s="129">
        <f t="shared" si="64"/>
        <v>0</v>
      </c>
      <c r="K524" s="129"/>
      <c r="L524" s="309"/>
    </row>
    <row r="525" spans="1:12" x14ac:dyDescent="0.25">
      <c r="A525" s="127">
        <v>5</v>
      </c>
      <c r="B525" s="127">
        <v>1</v>
      </c>
      <c r="C525" s="127">
        <v>2</v>
      </c>
      <c r="D525" s="127">
        <v>5</v>
      </c>
      <c r="E525" s="127"/>
      <c r="F525" s="127" t="s">
        <v>467</v>
      </c>
      <c r="G525" s="129">
        <f t="shared" ref="G525:J525" si="65">SUM(G526:G527)</f>
        <v>554</v>
      </c>
      <c r="H525" s="129">
        <f t="shared" si="65"/>
        <v>0</v>
      </c>
      <c r="I525" s="129">
        <f t="shared" si="65"/>
        <v>0</v>
      </c>
      <c r="J525" s="129">
        <f t="shared" si="65"/>
        <v>0</v>
      </c>
      <c r="K525" s="129"/>
      <c r="L525" s="309"/>
    </row>
    <row r="526" spans="1:12" x14ac:dyDescent="0.25">
      <c r="A526" s="127"/>
      <c r="B526" s="127"/>
      <c r="C526" s="127"/>
      <c r="D526" s="127"/>
      <c r="E526" s="127"/>
      <c r="F526" s="127" t="s">
        <v>773</v>
      </c>
      <c r="G526" s="129">
        <v>0</v>
      </c>
      <c r="H526" s="129">
        <v>0</v>
      </c>
      <c r="I526" s="127"/>
      <c r="J526" s="129">
        <f t="shared" ref="J526:J540" si="66">+G526+H526-I526</f>
        <v>0</v>
      </c>
      <c r="K526" s="129"/>
      <c r="L526" s="309"/>
    </row>
    <row r="527" spans="1:12" x14ac:dyDescent="0.25">
      <c r="A527" s="127"/>
      <c r="B527" s="127"/>
      <c r="C527" s="127"/>
      <c r="D527" s="127"/>
      <c r="E527" s="127"/>
      <c r="F527" s="127" t="s">
        <v>774</v>
      </c>
      <c r="G527" s="129">
        <v>554</v>
      </c>
      <c r="H527" s="129">
        <v>0</v>
      </c>
      <c r="I527" s="127"/>
      <c r="J527" s="129">
        <f t="shared" ref="J527" si="67">H527</f>
        <v>0</v>
      </c>
      <c r="K527" s="129"/>
      <c r="L527" s="309"/>
    </row>
    <row r="528" spans="1:12" x14ac:dyDescent="0.25">
      <c r="A528" s="127">
        <v>5</v>
      </c>
      <c r="B528" s="127">
        <v>1</v>
      </c>
      <c r="C528" s="127">
        <v>2</v>
      </c>
      <c r="D528" s="127">
        <v>6</v>
      </c>
      <c r="E528" s="127"/>
      <c r="F528" s="127" t="s">
        <v>468</v>
      </c>
      <c r="G528" s="129">
        <f t="shared" ref="G528:J528" si="68">G529</f>
        <v>93661</v>
      </c>
      <c r="H528" s="129">
        <f t="shared" si="68"/>
        <v>18513</v>
      </c>
      <c r="I528" s="129">
        <f t="shared" si="68"/>
        <v>0</v>
      </c>
      <c r="J528" s="129">
        <f t="shared" si="68"/>
        <v>18513</v>
      </c>
      <c r="K528" s="129"/>
      <c r="L528" s="309"/>
    </row>
    <row r="529" spans="1:12" x14ac:dyDescent="0.25">
      <c r="A529" s="127"/>
      <c r="B529" s="127"/>
      <c r="C529" s="127"/>
      <c r="D529" s="127"/>
      <c r="E529" s="127"/>
      <c r="F529" s="127" t="s">
        <v>468</v>
      </c>
      <c r="G529" s="129">
        <v>93661</v>
      </c>
      <c r="H529" s="129">
        <v>18513</v>
      </c>
      <c r="I529" s="127"/>
      <c r="J529" s="129">
        <f>H529</f>
        <v>18513</v>
      </c>
      <c r="K529" s="129"/>
      <c r="L529" s="309"/>
    </row>
    <row r="530" spans="1:12" ht="24" x14ac:dyDescent="0.25">
      <c r="A530" s="127">
        <v>5</v>
      </c>
      <c r="B530" s="127">
        <v>1</v>
      </c>
      <c r="C530" s="127">
        <v>2</v>
      </c>
      <c r="D530" s="127">
        <v>7</v>
      </c>
      <c r="E530" s="127"/>
      <c r="F530" s="127" t="s">
        <v>469</v>
      </c>
      <c r="G530" s="129">
        <f t="shared" ref="G530:J530" si="69">SUM(G531:G533)</f>
        <v>4060</v>
      </c>
      <c r="H530" s="129">
        <f t="shared" si="69"/>
        <v>0</v>
      </c>
      <c r="I530" s="129">
        <f t="shared" si="69"/>
        <v>0</v>
      </c>
      <c r="J530" s="129">
        <f t="shared" si="69"/>
        <v>0</v>
      </c>
      <c r="K530" s="129"/>
      <c r="L530" s="309"/>
    </row>
    <row r="531" spans="1:12" x14ac:dyDescent="0.25">
      <c r="A531" s="127"/>
      <c r="B531" s="127"/>
      <c r="C531" s="127"/>
      <c r="D531" s="127"/>
      <c r="E531" s="127"/>
      <c r="F531" s="127" t="s">
        <v>775</v>
      </c>
      <c r="G531" s="140">
        <v>4060</v>
      </c>
      <c r="H531" s="129">
        <v>0</v>
      </c>
      <c r="I531" s="127"/>
      <c r="J531" s="129">
        <f>H531</f>
        <v>0</v>
      </c>
      <c r="K531" s="129"/>
      <c r="L531" s="309"/>
    </row>
    <row r="532" spans="1:12" x14ac:dyDescent="0.25">
      <c r="A532" s="127"/>
      <c r="B532" s="127"/>
      <c r="C532" s="127"/>
      <c r="D532" s="127"/>
      <c r="E532" s="127"/>
      <c r="F532" s="127" t="s">
        <v>776</v>
      </c>
      <c r="G532" s="140">
        <v>0</v>
      </c>
      <c r="H532" s="129">
        <v>0</v>
      </c>
      <c r="I532" s="127"/>
      <c r="J532" s="129">
        <f t="shared" si="66"/>
        <v>0</v>
      </c>
      <c r="K532" s="129"/>
      <c r="L532" s="309"/>
    </row>
    <row r="533" spans="1:12" ht="24" x14ac:dyDescent="0.25">
      <c r="A533" s="127"/>
      <c r="B533" s="127"/>
      <c r="C533" s="127"/>
      <c r="D533" s="127"/>
      <c r="E533" s="127"/>
      <c r="F533" s="127" t="s">
        <v>777</v>
      </c>
      <c r="G533" s="140">
        <v>0</v>
      </c>
      <c r="H533" s="129">
        <v>0</v>
      </c>
      <c r="I533" s="127"/>
      <c r="J533" s="129">
        <f t="shared" si="66"/>
        <v>0</v>
      </c>
      <c r="K533" s="129"/>
      <c r="L533" s="309"/>
    </row>
    <row r="534" spans="1:12" x14ac:dyDescent="0.25">
      <c r="A534" s="127">
        <v>5</v>
      </c>
      <c r="B534" s="127">
        <v>1</v>
      </c>
      <c r="C534" s="127">
        <v>2</v>
      </c>
      <c r="D534" s="127">
        <v>8</v>
      </c>
      <c r="E534" s="127"/>
      <c r="F534" s="127" t="s">
        <v>470</v>
      </c>
      <c r="G534" s="129">
        <f t="shared" ref="G534:J534" si="70">G535</f>
        <v>0</v>
      </c>
      <c r="H534" s="129">
        <f t="shared" si="70"/>
        <v>0</v>
      </c>
      <c r="I534" s="129">
        <f t="shared" si="70"/>
        <v>0</v>
      </c>
      <c r="J534" s="129">
        <f t="shared" si="70"/>
        <v>0</v>
      </c>
      <c r="K534" s="129"/>
      <c r="L534" s="309"/>
    </row>
    <row r="535" spans="1:12" x14ac:dyDescent="0.25">
      <c r="A535" s="127"/>
      <c r="B535" s="127"/>
      <c r="C535" s="127"/>
      <c r="D535" s="127"/>
      <c r="E535" s="127"/>
      <c r="F535" s="127" t="s">
        <v>778</v>
      </c>
      <c r="G535" s="140"/>
      <c r="H535" s="129">
        <v>0</v>
      </c>
      <c r="I535" s="127"/>
      <c r="J535" s="129">
        <f t="shared" si="66"/>
        <v>0</v>
      </c>
      <c r="K535" s="129"/>
      <c r="L535" s="309"/>
    </row>
    <row r="536" spans="1:12" x14ac:dyDescent="0.25">
      <c r="A536" s="127">
        <v>5</v>
      </c>
      <c r="B536" s="127">
        <v>1</v>
      </c>
      <c r="C536" s="127">
        <v>2</v>
      </c>
      <c r="D536" s="127">
        <v>9</v>
      </c>
      <c r="E536" s="127"/>
      <c r="F536" s="127" t="s">
        <v>471</v>
      </c>
      <c r="G536" s="129">
        <f t="shared" ref="G536:J536" si="71">SUM(G537:G540)</f>
        <v>187</v>
      </c>
      <c r="H536" s="129">
        <f t="shared" si="71"/>
        <v>0</v>
      </c>
      <c r="I536" s="129">
        <f t="shared" si="71"/>
        <v>0</v>
      </c>
      <c r="J536" s="129">
        <f t="shared" si="71"/>
        <v>0</v>
      </c>
      <c r="K536" s="129"/>
      <c r="L536" s="309"/>
    </row>
    <row r="537" spans="1:12" x14ac:dyDescent="0.25">
      <c r="A537" s="127"/>
      <c r="B537" s="127"/>
      <c r="C537" s="127"/>
      <c r="D537" s="127"/>
      <c r="E537" s="127"/>
      <c r="F537" s="127" t="s">
        <v>779</v>
      </c>
      <c r="G537" s="140">
        <v>187</v>
      </c>
      <c r="H537" s="129">
        <v>0</v>
      </c>
      <c r="I537" s="127"/>
      <c r="J537" s="129">
        <f>H537</f>
        <v>0</v>
      </c>
      <c r="K537" s="129"/>
      <c r="L537" s="309"/>
    </row>
    <row r="538" spans="1:12" ht="24" x14ac:dyDescent="0.25">
      <c r="A538" s="127"/>
      <c r="B538" s="127"/>
      <c r="C538" s="127"/>
      <c r="D538" s="127"/>
      <c r="E538" s="127"/>
      <c r="F538" s="127" t="s">
        <v>780</v>
      </c>
      <c r="G538" s="140">
        <v>0</v>
      </c>
      <c r="H538" s="129">
        <v>0</v>
      </c>
      <c r="I538" s="127"/>
      <c r="J538" s="129">
        <f t="shared" si="66"/>
        <v>0</v>
      </c>
      <c r="K538" s="129"/>
      <c r="L538" s="309"/>
    </row>
    <row r="539" spans="1:12" ht="24" x14ac:dyDescent="0.25">
      <c r="A539" s="127"/>
      <c r="B539" s="127"/>
      <c r="C539" s="127"/>
      <c r="D539" s="127"/>
      <c r="E539" s="127"/>
      <c r="F539" s="127" t="s">
        <v>781</v>
      </c>
      <c r="G539" s="140">
        <v>0</v>
      </c>
      <c r="H539" s="129">
        <v>0</v>
      </c>
      <c r="I539" s="127"/>
      <c r="J539" s="129">
        <f t="shared" si="66"/>
        <v>0</v>
      </c>
      <c r="K539" s="129"/>
      <c r="L539" s="309"/>
    </row>
    <row r="540" spans="1:12" ht="24" x14ac:dyDescent="0.25">
      <c r="A540" s="127"/>
      <c r="B540" s="127"/>
      <c r="C540" s="127"/>
      <c r="D540" s="127"/>
      <c r="E540" s="127"/>
      <c r="F540" s="127" t="s">
        <v>782</v>
      </c>
      <c r="G540" s="140">
        <v>0</v>
      </c>
      <c r="H540" s="129">
        <v>0</v>
      </c>
      <c r="I540" s="127"/>
      <c r="J540" s="129">
        <f t="shared" si="66"/>
        <v>0</v>
      </c>
      <c r="K540" s="129"/>
      <c r="L540" s="309"/>
    </row>
    <row r="541" spans="1:12" x14ac:dyDescent="0.25">
      <c r="A541" s="125">
        <v>5</v>
      </c>
      <c r="B541" s="125">
        <v>1</v>
      </c>
      <c r="C541" s="125">
        <v>3</v>
      </c>
      <c r="D541" s="125"/>
      <c r="E541" s="125"/>
      <c r="F541" s="149" t="s">
        <v>64</v>
      </c>
      <c r="G541" s="469">
        <f t="shared" ref="G541:J541" si="72">+G542+G550+G552+G561+G566+G573+G575+G582+G588</f>
        <v>3948322</v>
      </c>
      <c r="H541" s="469">
        <f t="shared" si="72"/>
        <v>2305598</v>
      </c>
      <c r="I541" s="469">
        <f t="shared" si="72"/>
        <v>0</v>
      </c>
      <c r="J541" s="469">
        <f t="shared" si="72"/>
        <v>2305598</v>
      </c>
      <c r="K541" s="469"/>
      <c r="L541" s="309"/>
    </row>
    <row r="542" spans="1:12" x14ac:dyDescent="0.25">
      <c r="A542" s="127">
        <v>5</v>
      </c>
      <c r="B542" s="127">
        <v>1</v>
      </c>
      <c r="C542" s="127">
        <v>3</v>
      </c>
      <c r="D542" s="127">
        <v>1</v>
      </c>
      <c r="E542" s="127"/>
      <c r="F542" s="127" t="s">
        <v>472</v>
      </c>
      <c r="G542" s="145">
        <f t="shared" ref="G542:I542" si="73">SUM(G543:G549)</f>
        <v>288536</v>
      </c>
      <c r="H542" s="145">
        <f t="shared" si="73"/>
        <v>123625</v>
      </c>
      <c r="I542" s="145">
        <f t="shared" si="73"/>
        <v>0</v>
      </c>
      <c r="J542" s="145">
        <f t="shared" ref="J542" si="74">SUM(J543:J549)</f>
        <v>123625</v>
      </c>
      <c r="K542" s="145"/>
      <c r="L542" s="309"/>
    </row>
    <row r="543" spans="1:12" x14ac:dyDescent="0.25">
      <c r="A543" s="127"/>
      <c r="B543" s="127"/>
      <c r="C543" s="127"/>
      <c r="D543" s="127"/>
      <c r="E543" s="127"/>
      <c r="F543" s="127" t="s">
        <v>783</v>
      </c>
      <c r="G543" s="140">
        <v>117862</v>
      </c>
      <c r="H543" s="129">
        <v>38158</v>
      </c>
      <c r="I543" s="127"/>
      <c r="J543" s="129">
        <f t="shared" ref="J543:J593" si="75">H543</f>
        <v>38158</v>
      </c>
      <c r="K543" s="129"/>
      <c r="L543" s="309"/>
    </row>
    <row r="544" spans="1:12" x14ac:dyDescent="0.25">
      <c r="A544" s="127"/>
      <c r="B544" s="127"/>
      <c r="C544" s="127"/>
      <c r="D544" s="127"/>
      <c r="E544" s="127"/>
      <c r="F544" s="127" t="s">
        <v>784</v>
      </c>
      <c r="G544" s="140">
        <v>10296</v>
      </c>
      <c r="H544" s="129">
        <v>10296</v>
      </c>
      <c r="I544" s="127"/>
      <c r="J544" s="129">
        <f t="shared" si="75"/>
        <v>10296</v>
      </c>
      <c r="K544" s="129"/>
      <c r="L544" s="309"/>
    </row>
    <row r="545" spans="1:12" x14ac:dyDescent="0.25">
      <c r="A545" s="127"/>
      <c r="B545" s="127"/>
      <c r="C545" s="127"/>
      <c r="D545" s="127"/>
      <c r="E545" s="127"/>
      <c r="F545" s="127" t="s">
        <v>785</v>
      </c>
      <c r="G545" s="140">
        <v>115342</v>
      </c>
      <c r="H545" s="129">
        <v>65980</v>
      </c>
      <c r="I545" s="127"/>
      <c r="J545" s="129">
        <f t="shared" si="75"/>
        <v>65980</v>
      </c>
      <c r="K545" s="129"/>
      <c r="L545" s="309"/>
    </row>
    <row r="546" spans="1:12" x14ac:dyDescent="0.25">
      <c r="A546" s="127"/>
      <c r="B546" s="127"/>
      <c r="C546" s="127"/>
      <c r="D546" s="127"/>
      <c r="E546" s="127"/>
      <c r="F546" s="127" t="s">
        <v>786</v>
      </c>
      <c r="G546" s="140">
        <v>25064</v>
      </c>
      <c r="H546" s="129">
        <v>4493</v>
      </c>
      <c r="I546" s="127"/>
      <c r="J546" s="129">
        <f t="shared" si="75"/>
        <v>4493</v>
      </c>
      <c r="K546" s="129"/>
      <c r="L546" s="309"/>
    </row>
    <row r="547" spans="1:12" x14ac:dyDescent="0.25">
      <c r="A547" s="127"/>
      <c r="B547" s="127"/>
      <c r="C547" s="127"/>
      <c r="D547" s="127"/>
      <c r="E547" s="127"/>
      <c r="F547" s="127" t="s">
        <v>835</v>
      </c>
      <c r="G547" s="140">
        <v>11107</v>
      </c>
      <c r="H547" s="129">
        <v>1392</v>
      </c>
      <c r="I547" s="127"/>
      <c r="J547" s="129">
        <f t="shared" si="75"/>
        <v>1392</v>
      </c>
      <c r="K547" s="129"/>
      <c r="L547" s="309"/>
    </row>
    <row r="548" spans="1:12" x14ac:dyDescent="0.25">
      <c r="A548" s="127"/>
      <c r="B548" s="127"/>
      <c r="C548" s="127"/>
      <c r="D548" s="127"/>
      <c r="E548" s="127"/>
      <c r="F548" s="127" t="s">
        <v>787</v>
      </c>
      <c r="G548" s="140">
        <v>8865</v>
      </c>
      <c r="H548" s="129">
        <v>3306</v>
      </c>
      <c r="I548" s="127"/>
      <c r="J548" s="129">
        <f t="shared" si="75"/>
        <v>3306</v>
      </c>
      <c r="K548" s="129"/>
      <c r="L548" s="309"/>
    </row>
    <row r="549" spans="1:12" x14ac:dyDescent="0.25">
      <c r="A549" s="127"/>
      <c r="B549" s="127"/>
      <c r="C549" s="127"/>
      <c r="D549" s="127"/>
      <c r="E549" s="127"/>
      <c r="F549" s="127" t="s">
        <v>788</v>
      </c>
      <c r="G549" s="140">
        <v>0</v>
      </c>
      <c r="H549" s="129"/>
      <c r="I549" s="127"/>
      <c r="J549" s="129">
        <f t="shared" si="75"/>
        <v>0</v>
      </c>
      <c r="K549" s="129"/>
      <c r="L549" s="309"/>
    </row>
    <row r="550" spans="1:12" x14ac:dyDescent="0.25">
      <c r="A550" s="127">
        <v>5</v>
      </c>
      <c r="B550" s="127">
        <v>1</v>
      </c>
      <c r="C550" s="127">
        <v>3</v>
      </c>
      <c r="D550" s="127">
        <v>2</v>
      </c>
      <c r="E550" s="127"/>
      <c r="F550" s="127" t="s">
        <v>473</v>
      </c>
      <c r="G550" s="145">
        <f t="shared" ref="G550:J550" si="76">SUM(G551)</f>
        <v>6000</v>
      </c>
      <c r="H550" s="145">
        <f t="shared" si="76"/>
        <v>0</v>
      </c>
      <c r="I550" s="145">
        <f t="shared" si="76"/>
        <v>0</v>
      </c>
      <c r="J550" s="145">
        <f t="shared" si="76"/>
        <v>0</v>
      </c>
      <c r="K550" s="145"/>
      <c r="L550" s="309"/>
    </row>
    <row r="551" spans="1:12" x14ac:dyDescent="0.25">
      <c r="A551" s="127"/>
      <c r="B551" s="127"/>
      <c r="C551" s="127"/>
      <c r="D551" s="127"/>
      <c r="E551" s="127"/>
      <c r="F551" s="127" t="s">
        <v>789</v>
      </c>
      <c r="G551" s="140">
        <v>6000</v>
      </c>
      <c r="H551" s="129">
        <v>0</v>
      </c>
      <c r="I551" s="127"/>
      <c r="J551" s="129">
        <f t="shared" si="75"/>
        <v>0</v>
      </c>
      <c r="K551" s="129"/>
      <c r="L551" s="309"/>
    </row>
    <row r="552" spans="1:12" ht="24" x14ac:dyDescent="0.25">
      <c r="A552" s="127">
        <v>5</v>
      </c>
      <c r="B552" s="127">
        <v>1</v>
      </c>
      <c r="C552" s="127">
        <v>3</v>
      </c>
      <c r="D552" s="127">
        <v>3</v>
      </c>
      <c r="E552" s="127"/>
      <c r="F552" s="127" t="s">
        <v>474</v>
      </c>
      <c r="G552" s="145">
        <f t="shared" ref="G552:I552" si="77">SUM(G553:G560)</f>
        <v>2681747</v>
      </c>
      <c r="H552" s="145">
        <f t="shared" si="77"/>
        <v>222933</v>
      </c>
      <c r="I552" s="145">
        <f t="shared" si="77"/>
        <v>0</v>
      </c>
      <c r="J552" s="145">
        <f t="shared" ref="J552" si="78">SUM(J553:J560)</f>
        <v>222933</v>
      </c>
      <c r="K552" s="145"/>
      <c r="L552" s="309"/>
    </row>
    <row r="553" spans="1:12" ht="24" x14ac:dyDescent="0.25">
      <c r="A553" s="127"/>
      <c r="B553" s="127"/>
      <c r="C553" s="127"/>
      <c r="D553" s="127"/>
      <c r="E553" s="127"/>
      <c r="F553" s="127" t="s">
        <v>790</v>
      </c>
      <c r="G553" s="140">
        <v>139200</v>
      </c>
      <c r="H553" s="129">
        <v>45000</v>
      </c>
      <c r="I553" s="127"/>
      <c r="J553" s="129">
        <f t="shared" si="75"/>
        <v>45000</v>
      </c>
      <c r="K553" s="129"/>
      <c r="L553" s="309"/>
    </row>
    <row r="554" spans="1:12" x14ac:dyDescent="0.25">
      <c r="A554" s="127"/>
      <c r="B554" s="127"/>
      <c r="C554" s="127"/>
      <c r="D554" s="127"/>
      <c r="E554" s="127"/>
      <c r="F554" s="127" t="s">
        <v>836</v>
      </c>
      <c r="G554" s="140">
        <v>185606</v>
      </c>
      <c r="H554" s="129">
        <v>0</v>
      </c>
      <c r="I554" s="127"/>
      <c r="J554" s="129">
        <f t="shared" si="75"/>
        <v>0</v>
      </c>
      <c r="K554" s="129"/>
      <c r="L554" s="309"/>
    </row>
    <row r="555" spans="1:12" ht="24" x14ac:dyDescent="0.25">
      <c r="A555" s="127"/>
      <c r="B555" s="127"/>
      <c r="C555" s="127"/>
      <c r="D555" s="127"/>
      <c r="E555" s="127"/>
      <c r="F555" s="127" t="s">
        <v>791</v>
      </c>
      <c r="G555" s="140">
        <v>176500</v>
      </c>
      <c r="H555" s="129">
        <v>0</v>
      </c>
      <c r="I555" s="127"/>
      <c r="J555" s="129">
        <f t="shared" si="75"/>
        <v>0</v>
      </c>
      <c r="K555" s="129"/>
      <c r="L555" s="309"/>
    </row>
    <row r="556" spans="1:12" x14ac:dyDescent="0.25">
      <c r="A556" s="127"/>
      <c r="B556" s="127"/>
      <c r="C556" s="127"/>
      <c r="D556" s="127"/>
      <c r="E556" s="127"/>
      <c r="F556" s="127" t="s">
        <v>792</v>
      </c>
      <c r="G556" s="140">
        <v>39500</v>
      </c>
      <c r="H556" s="129">
        <v>5800</v>
      </c>
      <c r="I556" s="127"/>
      <c r="J556" s="129">
        <f t="shared" si="75"/>
        <v>5800</v>
      </c>
      <c r="K556" s="129"/>
      <c r="L556" s="309"/>
    </row>
    <row r="557" spans="1:12" x14ac:dyDescent="0.25">
      <c r="A557" s="127"/>
      <c r="B557" s="127"/>
      <c r="C557" s="127"/>
      <c r="D557" s="127"/>
      <c r="E557" s="127"/>
      <c r="F557" s="127" t="s">
        <v>821</v>
      </c>
      <c r="G557" s="140">
        <v>89602</v>
      </c>
      <c r="H557" s="129">
        <v>10528</v>
      </c>
      <c r="I557" s="127"/>
      <c r="J557" s="129">
        <f t="shared" si="75"/>
        <v>10528</v>
      </c>
      <c r="K557" s="129"/>
      <c r="L557" s="309"/>
    </row>
    <row r="558" spans="1:12" ht="24" x14ac:dyDescent="0.25">
      <c r="A558" s="127"/>
      <c r="B558" s="127"/>
      <c r="C558" s="127"/>
      <c r="D558" s="127"/>
      <c r="E558" s="127"/>
      <c r="F558" s="127" t="s">
        <v>793</v>
      </c>
      <c r="G558" s="140">
        <v>1058391</v>
      </c>
      <c r="H558" s="129">
        <v>37360</v>
      </c>
      <c r="I558" s="127"/>
      <c r="J558" s="129">
        <f t="shared" si="75"/>
        <v>37360</v>
      </c>
      <c r="K558" s="129"/>
      <c r="L558" s="309"/>
    </row>
    <row r="559" spans="1:12" x14ac:dyDescent="0.25">
      <c r="A559" s="127"/>
      <c r="B559" s="127"/>
      <c r="C559" s="127"/>
      <c r="D559" s="127"/>
      <c r="E559" s="127"/>
      <c r="F559" s="127" t="s">
        <v>794</v>
      </c>
      <c r="G559" s="140">
        <v>452148</v>
      </c>
      <c r="H559" s="129">
        <v>124245</v>
      </c>
      <c r="I559" s="127"/>
      <c r="J559" s="129">
        <f t="shared" si="75"/>
        <v>124245</v>
      </c>
      <c r="K559" s="129"/>
      <c r="L559" s="309"/>
    </row>
    <row r="560" spans="1:12" ht="24" x14ac:dyDescent="0.25">
      <c r="A560" s="127"/>
      <c r="B560" s="127"/>
      <c r="C560" s="127"/>
      <c r="D560" s="127"/>
      <c r="E560" s="127"/>
      <c r="F560" s="127" t="s">
        <v>795</v>
      </c>
      <c r="G560" s="140">
        <v>540800</v>
      </c>
      <c r="H560" s="129">
        <v>0</v>
      </c>
      <c r="I560" s="127"/>
      <c r="J560" s="129">
        <f t="shared" si="75"/>
        <v>0</v>
      </c>
      <c r="K560" s="129"/>
      <c r="L560" s="309"/>
    </row>
    <row r="561" spans="1:12" x14ac:dyDescent="0.25">
      <c r="A561" s="127">
        <v>5</v>
      </c>
      <c r="B561" s="127">
        <v>1</v>
      </c>
      <c r="C561" s="127">
        <v>3</v>
      </c>
      <c r="D561" s="127">
        <v>4</v>
      </c>
      <c r="E561" s="127"/>
      <c r="F561" s="127" t="s">
        <v>475</v>
      </c>
      <c r="G561" s="145">
        <f t="shared" ref="G561:I561" si="79">SUM(G562:G565)</f>
        <v>6979</v>
      </c>
      <c r="H561" s="145">
        <f t="shared" si="79"/>
        <v>10316</v>
      </c>
      <c r="I561" s="145">
        <f t="shared" si="79"/>
        <v>0</v>
      </c>
      <c r="J561" s="145">
        <f t="shared" ref="J561" si="80">SUM(J562:J565)</f>
        <v>10316</v>
      </c>
      <c r="K561" s="145"/>
      <c r="L561" s="309"/>
    </row>
    <row r="562" spans="1:12" x14ac:dyDescent="0.25">
      <c r="A562" s="127"/>
      <c r="B562" s="127"/>
      <c r="C562" s="127"/>
      <c r="D562" s="127"/>
      <c r="E562" s="127"/>
      <c r="F562" s="127" t="s">
        <v>796</v>
      </c>
      <c r="G562" s="140">
        <v>5218</v>
      </c>
      <c r="H562" s="129">
        <v>6160</v>
      </c>
      <c r="I562" s="127"/>
      <c r="J562" s="129">
        <f t="shared" si="75"/>
        <v>6160</v>
      </c>
      <c r="K562" s="129"/>
      <c r="L562" s="309"/>
    </row>
    <row r="563" spans="1:12" x14ac:dyDescent="0.25">
      <c r="A563" s="127"/>
      <c r="B563" s="127"/>
      <c r="C563" s="127"/>
      <c r="D563" s="127"/>
      <c r="E563" s="127"/>
      <c r="F563" s="127" t="s">
        <v>797</v>
      </c>
      <c r="G563" s="140">
        <v>0</v>
      </c>
      <c r="H563" s="129"/>
      <c r="I563" s="127"/>
      <c r="J563" s="129">
        <f t="shared" si="75"/>
        <v>0</v>
      </c>
      <c r="K563" s="129"/>
      <c r="L563" s="309"/>
    </row>
    <row r="564" spans="1:12" x14ac:dyDescent="0.25">
      <c r="A564" s="127"/>
      <c r="B564" s="127"/>
      <c r="C564" s="127"/>
      <c r="D564" s="127"/>
      <c r="E564" s="127"/>
      <c r="F564" s="127" t="s">
        <v>798</v>
      </c>
      <c r="G564" s="140">
        <v>0</v>
      </c>
      <c r="H564" s="129"/>
      <c r="I564" s="127"/>
      <c r="J564" s="129">
        <f t="shared" si="75"/>
        <v>0</v>
      </c>
      <c r="K564" s="129"/>
      <c r="L564" s="309"/>
    </row>
    <row r="565" spans="1:12" ht="24" x14ac:dyDescent="0.25">
      <c r="A565" s="127"/>
      <c r="B565" s="127"/>
      <c r="C565" s="127"/>
      <c r="D565" s="127"/>
      <c r="E565" s="127"/>
      <c r="F565" s="127" t="s">
        <v>799</v>
      </c>
      <c r="G565" s="140">
        <v>1761</v>
      </c>
      <c r="H565" s="129">
        <v>4156</v>
      </c>
      <c r="I565" s="127"/>
      <c r="J565" s="129">
        <f t="shared" si="75"/>
        <v>4156</v>
      </c>
      <c r="K565" s="129"/>
      <c r="L565" s="309"/>
    </row>
    <row r="566" spans="1:12" ht="24" x14ac:dyDescent="0.25">
      <c r="A566" s="127">
        <v>5</v>
      </c>
      <c r="B566" s="127">
        <v>1</v>
      </c>
      <c r="C566" s="127">
        <v>3</v>
      </c>
      <c r="D566" s="127">
        <v>5</v>
      </c>
      <c r="E566" s="127"/>
      <c r="F566" s="127" t="s">
        <v>476</v>
      </c>
      <c r="G566" s="145">
        <f t="shared" ref="G566:I566" si="81">SUM(G567:G572)</f>
        <v>100607</v>
      </c>
      <c r="H566" s="145">
        <f t="shared" si="81"/>
        <v>50248</v>
      </c>
      <c r="I566" s="145">
        <f t="shared" si="81"/>
        <v>0</v>
      </c>
      <c r="J566" s="145">
        <f t="shared" ref="J566" si="82">SUM(J567:J572)</f>
        <v>50248</v>
      </c>
      <c r="K566" s="145"/>
      <c r="L566" s="309"/>
    </row>
    <row r="567" spans="1:12" x14ac:dyDescent="0.25">
      <c r="A567" s="127"/>
      <c r="B567" s="127"/>
      <c r="C567" s="127"/>
      <c r="D567" s="127"/>
      <c r="E567" s="127"/>
      <c r="F567" s="127" t="s">
        <v>800</v>
      </c>
      <c r="G567" s="140">
        <v>25104</v>
      </c>
      <c r="H567" s="129">
        <v>12533</v>
      </c>
      <c r="I567" s="127"/>
      <c r="J567" s="129">
        <f t="shared" si="75"/>
        <v>12533</v>
      </c>
      <c r="K567" s="129"/>
      <c r="L567" s="309"/>
    </row>
    <row r="568" spans="1:12" ht="36" x14ac:dyDescent="0.25">
      <c r="A568" s="127"/>
      <c r="B568" s="127"/>
      <c r="C568" s="127"/>
      <c r="D568" s="127"/>
      <c r="E568" s="127"/>
      <c r="F568" s="127" t="s">
        <v>802</v>
      </c>
      <c r="G568" s="140">
        <v>25086</v>
      </c>
      <c r="H568" s="129">
        <v>0</v>
      </c>
      <c r="I568" s="127"/>
      <c r="J568" s="129">
        <f t="shared" si="75"/>
        <v>0</v>
      </c>
      <c r="K568" s="129"/>
      <c r="L568" s="309"/>
    </row>
    <row r="569" spans="1:12" ht="24" x14ac:dyDescent="0.25">
      <c r="A569" s="127"/>
      <c r="B569" s="127"/>
      <c r="C569" s="127"/>
      <c r="D569" s="127"/>
      <c r="E569" s="127"/>
      <c r="F569" s="127" t="s">
        <v>801</v>
      </c>
      <c r="G569" s="140">
        <v>19212</v>
      </c>
      <c r="H569" s="129">
        <v>1740</v>
      </c>
      <c r="I569" s="127"/>
      <c r="J569" s="129">
        <f t="shared" si="75"/>
        <v>1740</v>
      </c>
      <c r="K569" s="129"/>
      <c r="L569" s="309"/>
    </row>
    <row r="570" spans="1:12" x14ac:dyDescent="0.25">
      <c r="A570" s="127"/>
      <c r="B570" s="127"/>
      <c r="C570" s="127"/>
      <c r="D570" s="127"/>
      <c r="E570" s="127"/>
      <c r="F570" s="127" t="s">
        <v>803</v>
      </c>
      <c r="G570" s="140">
        <v>28349</v>
      </c>
      <c r="H570" s="129">
        <v>35975</v>
      </c>
      <c r="I570" s="127"/>
      <c r="J570" s="129">
        <f t="shared" si="75"/>
        <v>35975</v>
      </c>
      <c r="K570" s="129"/>
      <c r="L570" s="309"/>
    </row>
    <row r="571" spans="1:12" ht="24" x14ac:dyDescent="0.25">
      <c r="A571" s="127"/>
      <c r="B571" s="127"/>
      <c r="C571" s="127"/>
      <c r="D571" s="127"/>
      <c r="E571" s="127"/>
      <c r="F571" s="127" t="s">
        <v>1141</v>
      </c>
      <c r="G571" s="140">
        <v>1356</v>
      </c>
      <c r="H571" s="129">
        <v>0</v>
      </c>
      <c r="I571" s="127"/>
      <c r="J571" s="129">
        <f t="shared" si="75"/>
        <v>0</v>
      </c>
      <c r="K571" s="129"/>
      <c r="L571" s="309"/>
    </row>
    <row r="572" spans="1:12" x14ac:dyDescent="0.25">
      <c r="A572" s="127"/>
      <c r="B572" s="127"/>
      <c r="C572" s="127"/>
      <c r="D572" s="127"/>
      <c r="E572" s="127"/>
      <c r="F572" s="127" t="s">
        <v>804</v>
      </c>
      <c r="G572" s="140">
        <v>1500</v>
      </c>
      <c r="H572" s="129">
        <v>0</v>
      </c>
      <c r="I572" s="127"/>
      <c r="J572" s="129">
        <f t="shared" si="75"/>
        <v>0</v>
      </c>
      <c r="K572" s="129"/>
      <c r="L572" s="309"/>
    </row>
    <row r="573" spans="1:12" x14ac:dyDescent="0.25">
      <c r="A573" s="127">
        <v>5</v>
      </c>
      <c r="B573" s="127">
        <v>1</v>
      </c>
      <c r="C573" s="127">
        <v>3</v>
      </c>
      <c r="D573" s="127">
        <v>6</v>
      </c>
      <c r="E573" s="127"/>
      <c r="F573" s="127" t="s">
        <v>477</v>
      </c>
      <c r="G573" s="145">
        <f t="shared" ref="G573:J573" si="83">G574</f>
        <v>12101</v>
      </c>
      <c r="H573" s="145">
        <f t="shared" si="83"/>
        <v>0</v>
      </c>
      <c r="I573" s="145">
        <f t="shared" si="83"/>
        <v>0</v>
      </c>
      <c r="J573" s="145">
        <f t="shared" si="83"/>
        <v>0</v>
      </c>
      <c r="K573" s="145"/>
      <c r="L573" s="309"/>
    </row>
    <row r="574" spans="1:12" ht="36" x14ac:dyDescent="0.25">
      <c r="A574" s="127"/>
      <c r="B574" s="127"/>
      <c r="C574" s="127"/>
      <c r="D574" s="127"/>
      <c r="E574" s="127"/>
      <c r="F574" s="127" t="s">
        <v>805</v>
      </c>
      <c r="G574" s="140">
        <v>12101</v>
      </c>
      <c r="H574" s="129">
        <v>0</v>
      </c>
      <c r="I574" s="127"/>
      <c r="J574" s="129">
        <f t="shared" si="75"/>
        <v>0</v>
      </c>
      <c r="K574" s="129"/>
      <c r="L574" s="309"/>
    </row>
    <row r="575" spans="1:12" x14ac:dyDescent="0.25">
      <c r="A575" s="127">
        <v>5</v>
      </c>
      <c r="B575" s="127">
        <v>1</v>
      </c>
      <c r="C575" s="127">
        <v>3</v>
      </c>
      <c r="D575" s="127">
        <v>7</v>
      </c>
      <c r="E575" s="127"/>
      <c r="F575" s="127" t="s">
        <v>478</v>
      </c>
      <c r="G575" s="145">
        <f t="shared" ref="G575:J575" si="84">SUM(G576:G581)</f>
        <v>35266</v>
      </c>
      <c r="H575" s="145">
        <f t="shared" si="84"/>
        <v>5050</v>
      </c>
      <c r="I575" s="145">
        <f t="shared" si="84"/>
        <v>0</v>
      </c>
      <c r="J575" s="145">
        <f t="shared" si="84"/>
        <v>5050</v>
      </c>
      <c r="K575" s="145"/>
      <c r="L575" s="309"/>
    </row>
    <row r="576" spans="1:12" x14ac:dyDescent="0.25">
      <c r="A576" s="127"/>
      <c r="B576" s="127"/>
      <c r="C576" s="127"/>
      <c r="D576" s="127"/>
      <c r="E576" s="127"/>
      <c r="F576" s="127" t="s">
        <v>806</v>
      </c>
      <c r="G576" s="140">
        <v>5843</v>
      </c>
      <c r="H576" s="129">
        <v>0</v>
      </c>
      <c r="I576" s="127"/>
      <c r="J576" s="129">
        <f t="shared" si="75"/>
        <v>0</v>
      </c>
      <c r="K576" s="129"/>
      <c r="L576" s="309"/>
    </row>
    <row r="577" spans="1:12" x14ac:dyDescent="0.25">
      <c r="A577" s="127"/>
      <c r="B577" s="127"/>
      <c r="C577" s="127"/>
      <c r="D577" s="127"/>
      <c r="E577" s="127"/>
      <c r="F577" s="127" t="s">
        <v>807</v>
      </c>
      <c r="G577" s="140">
        <v>3296</v>
      </c>
      <c r="H577" s="129">
        <v>795</v>
      </c>
      <c r="I577" s="127"/>
      <c r="J577" s="129">
        <f t="shared" si="75"/>
        <v>795</v>
      </c>
      <c r="K577" s="129"/>
      <c r="L577" s="309"/>
    </row>
    <row r="578" spans="1:12" x14ac:dyDescent="0.25">
      <c r="A578" s="127"/>
      <c r="B578" s="127"/>
      <c r="C578" s="127"/>
      <c r="D578" s="127"/>
      <c r="E578" s="127"/>
      <c r="F578" s="127" t="s">
        <v>808</v>
      </c>
      <c r="G578" s="140">
        <v>26127</v>
      </c>
      <c r="H578" s="129">
        <v>2321</v>
      </c>
      <c r="I578" s="127"/>
      <c r="J578" s="129">
        <f t="shared" si="75"/>
        <v>2321</v>
      </c>
      <c r="K578" s="129"/>
      <c r="L578" s="309"/>
    </row>
    <row r="579" spans="1:12" x14ac:dyDescent="0.25">
      <c r="A579" s="127"/>
      <c r="B579" s="127"/>
      <c r="C579" s="127"/>
      <c r="D579" s="127"/>
      <c r="E579" s="127"/>
      <c r="F579" s="127" t="s">
        <v>809</v>
      </c>
      <c r="G579" s="140">
        <v>0</v>
      </c>
      <c r="H579" s="129">
        <v>1934</v>
      </c>
      <c r="I579" s="127"/>
      <c r="J579" s="129">
        <f t="shared" si="75"/>
        <v>1934</v>
      </c>
      <c r="K579" s="129"/>
      <c r="L579" s="309"/>
    </row>
    <row r="580" spans="1:12" x14ac:dyDescent="0.25">
      <c r="A580" s="127"/>
      <c r="B580" s="127"/>
      <c r="C580" s="127"/>
      <c r="D580" s="127"/>
      <c r="E580" s="127"/>
      <c r="F580" s="127" t="s">
        <v>810</v>
      </c>
      <c r="G580" s="140">
        <v>0</v>
      </c>
      <c r="H580" s="129"/>
      <c r="I580" s="127"/>
      <c r="J580" s="129">
        <f t="shared" si="75"/>
        <v>0</v>
      </c>
      <c r="K580" s="129"/>
      <c r="L580" s="309"/>
    </row>
    <row r="581" spans="1:12" x14ac:dyDescent="0.25">
      <c r="A581" s="127"/>
      <c r="B581" s="127"/>
      <c r="C581" s="127"/>
      <c r="D581" s="127"/>
      <c r="E581" s="127"/>
      <c r="F581" s="127" t="s">
        <v>811</v>
      </c>
      <c r="G581" s="140">
        <v>0</v>
      </c>
      <c r="H581" s="129"/>
      <c r="I581" s="127"/>
      <c r="J581" s="129">
        <f t="shared" si="75"/>
        <v>0</v>
      </c>
      <c r="K581" s="129"/>
      <c r="L581" s="309"/>
    </row>
    <row r="582" spans="1:12" x14ac:dyDescent="0.25">
      <c r="A582" s="127">
        <v>5</v>
      </c>
      <c r="B582" s="127">
        <v>1</v>
      </c>
      <c r="C582" s="127">
        <v>3</v>
      </c>
      <c r="D582" s="127">
        <v>8</v>
      </c>
      <c r="E582" s="127"/>
      <c r="F582" s="127" t="s">
        <v>479</v>
      </c>
      <c r="G582" s="145">
        <f t="shared" ref="G582:I582" si="85">SUM(G583:G587)</f>
        <v>8410</v>
      </c>
      <c r="H582" s="145">
        <f t="shared" si="85"/>
        <v>10254</v>
      </c>
      <c r="I582" s="145">
        <f t="shared" si="85"/>
        <v>0</v>
      </c>
      <c r="J582" s="145">
        <f t="shared" ref="J582" si="86">SUM(J583:J587)</f>
        <v>10254</v>
      </c>
      <c r="K582" s="145"/>
      <c r="L582" s="309"/>
    </row>
    <row r="583" spans="1:12" x14ac:dyDescent="0.25">
      <c r="A583" s="127"/>
      <c r="B583" s="127"/>
      <c r="C583" s="127"/>
      <c r="D583" s="127"/>
      <c r="E583" s="127"/>
      <c r="F583" s="127" t="s">
        <v>812</v>
      </c>
      <c r="G583" s="140">
        <v>250</v>
      </c>
      <c r="H583" s="129">
        <v>0</v>
      </c>
      <c r="I583" s="127"/>
      <c r="J583" s="129">
        <f t="shared" si="75"/>
        <v>0</v>
      </c>
      <c r="K583" s="129"/>
      <c r="L583" s="309"/>
    </row>
    <row r="584" spans="1:12" x14ac:dyDescent="0.25">
      <c r="A584" s="127"/>
      <c r="B584" s="127"/>
      <c r="C584" s="127"/>
      <c r="D584" s="127"/>
      <c r="E584" s="127"/>
      <c r="F584" s="127" t="s">
        <v>813</v>
      </c>
      <c r="G584" s="140">
        <v>1160</v>
      </c>
      <c r="H584" s="129">
        <v>3254</v>
      </c>
      <c r="I584" s="127"/>
      <c r="J584" s="129">
        <f t="shared" si="75"/>
        <v>3254</v>
      </c>
      <c r="K584" s="129"/>
      <c r="L584" s="309"/>
    </row>
    <row r="585" spans="1:12" x14ac:dyDescent="0.25">
      <c r="A585" s="127"/>
      <c r="B585" s="127"/>
      <c r="C585" s="127"/>
      <c r="D585" s="127"/>
      <c r="E585" s="127"/>
      <c r="F585" s="127" t="s">
        <v>814</v>
      </c>
      <c r="G585" s="140">
        <v>7000</v>
      </c>
      <c r="H585" s="129">
        <v>0</v>
      </c>
      <c r="I585" s="127"/>
      <c r="J585" s="129">
        <f t="shared" si="75"/>
        <v>0</v>
      </c>
      <c r="K585" s="129"/>
      <c r="L585" s="309"/>
    </row>
    <row r="586" spans="1:12" x14ac:dyDescent="0.25">
      <c r="A586" s="127"/>
      <c r="B586" s="127"/>
      <c r="C586" s="127"/>
      <c r="D586" s="127"/>
      <c r="E586" s="127"/>
      <c r="F586" s="127" t="s">
        <v>815</v>
      </c>
      <c r="G586" s="140">
        <v>0</v>
      </c>
      <c r="H586" s="129">
        <v>7000</v>
      </c>
      <c r="I586" s="127"/>
      <c r="J586" s="129">
        <f t="shared" si="75"/>
        <v>7000</v>
      </c>
      <c r="K586" s="129"/>
      <c r="L586" s="309"/>
    </row>
    <row r="587" spans="1:12" x14ac:dyDescent="0.25">
      <c r="A587" s="127"/>
      <c r="B587" s="127"/>
      <c r="C587" s="127"/>
      <c r="D587" s="127"/>
      <c r="E587" s="127"/>
      <c r="F587" s="127" t="s">
        <v>816</v>
      </c>
      <c r="G587" s="140">
        <v>0</v>
      </c>
      <c r="H587" s="129"/>
      <c r="I587" s="127"/>
      <c r="J587" s="129">
        <f t="shared" si="75"/>
        <v>0</v>
      </c>
      <c r="K587" s="129"/>
      <c r="L587" s="309"/>
    </row>
    <row r="588" spans="1:12" x14ac:dyDescent="0.25">
      <c r="A588" s="127">
        <v>5</v>
      </c>
      <c r="B588" s="127">
        <v>1</v>
      </c>
      <c r="C588" s="127">
        <v>3</v>
      </c>
      <c r="D588" s="127">
        <v>9</v>
      </c>
      <c r="E588" s="127"/>
      <c r="F588" s="127" t="s">
        <v>480</v>
      </c>
      <c r="G588" s="145">
        <f t="shared" ref="G588:J588" si="87">SUM(G589:G593)</f>
        <v>808676</v>
      </c>
      <c r="H588" s="145">
        <f t="shared" si="87"/>
        <v>1883172</v>
      </c>
      <c r="I588" s="145">
        <f t="shared" si="87"/>
        <v>0</v>
      </c>
      <c r="J588" s="145">
        <f t="shared" si="87"/>
        <v>1883172</v>
      </c>
      <c r="K588" s="145"/>
      <c r="L588" s="309"/>
    </row>
    <row r="589" spans="1:12" x14ac:dyDescent="0.25">
      <c r="A589" s="127"/>
      <c r="B589" s="127"/>
      <c r="C589" s="127"/>
      <c r="D589" s="127"/>
      <c r="E589" s="127"/>
      <c r="F589" s="127" t="s">
        <v>817</v>
      </c>
      <c r="G589" s="140">
        <v>0</v>
      </c>
      <c r="H589" s="129"/>
      <c r="I589" s="127"/>
      <c r="J589" s="129">
        <f t="shared" si="75"/>
        <v>0</v>
      </c>
      <c r="K589" s="129"/>
      <c r="L589" s="309"/>
    </row>
    <row r="590" spans="1:12" ht="24" x14ac:dyDescent="0.25">
      <c r="A590" s="127"/>
      <c r="B590" s="127"/>
      <c r="C590" s="127"/>
      <c r="D590" s="127"/>
      <c r="E590" s="127"/>
      <c r="F590" s="127" t="s">
        <v>1253</v>
      </c>
      <c r="G590" s="140"/>
      <c r="H590" s="129">
        <v>1498311</v>
      </c>
      <c r="I590" s="127"/>
      <c r="J590" s="129">
        <f t="shared" si="75"/>
        <v>1498311</v>
      </c>
      <c r="K590" s="129"/>
      <c r="L590" s="309"/>
    </row>
    <row r="591" spans="1:12" x14ac:dyDescent="0.25">
      <c r="A591" s="127"/>
      <c r="B591" s="127"/>
      <c r="C591" s="127"/>
      <c r="D591" s="127"/>
      <c r="E591" s="127"/>
      <c r="F591" s="127" t="s">
        <v>1254</v>
      </c>
      <c r="G591" s="140"/>
      <c r="H591" s="129">
        <v>316669</v>
      </c>
      <c r="I591" s="127"/>
      <c r="J591" s="129">
        <f t="shared" si="75"/>
        <v>316669</v>
      </c>
      <c r="K591" s="129"/>
      <c r="L591" s="309"/>
    </row>
    <row r="592" spans="1:12" ht="24" x14ac:dyDescent="0.25">
      <c r="A592" s="127"/>
      <c r="B592" s="127"/>
      <c r="C592" s="127"/>
      <c r="D592" s="127"/>
      <c r="E592" s="127"/>
      <c r="F592" s="127" t="s">
        <v>818</v>
      </c>
      <c r="G592" s="140">
        <v>194237</v>
      </c>
      <c r="H592" s="129">
        <v>61871</v>
      </c>
      <c r="I592" s="127"/>
      <c r="J592" s="129">
        <f t="shared" si="75"/>
        <v>61871</v>
      </c>
      <c r="K592" s="129"/>
      <c r="L592" s="309"/>
    </row>
    <row r="593" spans="1:12" x14ac:dyDescent="0.25">
      <c r="A593" s="127"/>
      <c r="B593" s="127"/>
      <c r="C593" s="127"/>
      <c r="D593" s="127"/>
      <c r="E593" s="127"/>
      <c r="F593" s="127" t="s">
        <v>480</v>
      </c>
      <c r="G593" s="140">
        <v>614439</v>
      </c>
      <c r="H593" s="129">
        <v>6321</v>
      </c>
      <c r="I593" s="127"/>
      <c r="J593" s="129">
        <f t="shared" si="75"/>
        <v>6321</v>
      </c>
      <c r="K593" s="129"/>
      <c r="L593" s="309"/>
    </row>
    <row r="594" spans="1:12" ht="24" hidden="1" x14ac:dyDescent="0.25">
      <c r="A594" s="126">
        <v>5</v>
      </c>
      <c r="B594" s="126">
        <v>2</v>
      </c>
      <c r="C594" s="126"/>
      <c r="D594" s="126"/>
      <c r="E594" s="126"/>
      <c r="F594" s="126" t="s">
        <v>481</v>
      </c>
      <c r="G594" s="126"/>
      <c r="H594" s="129"/>
      <c r="I594" s="126"/>
      <c r="J594" s="129"/>
      <c r="K594" s="129"/>
      <c r="L594" s="309"/>
    </row>
    <row r="595" spans="1:12" ht="24" hidden="1" x14ac:dyDescent="0.25">
      <c r="A595" s="127">
        <v>5</v>
      </c>
      <c r="B595" s="127">
        <v>2</v>
      </c>
      <c r="C595" s="127">
        <v>1</v>
      </c>
      <c r="D595" s="127"/>
      <c r="E595" s="127"/>
      <c r="F595" s="128" t="s">
        <v>66</v>
      </c>
      <c r="G595" s="128"/>
      <c r="H595" s="129"/>
      <c r="I595" s="128"/>
      <c r="J595" s="129"/>
      <c r="K595" s="129"/>
      <c r="L595" s="309"/>
    </row>
    <row r="596" spans="1:12" hidden="1" x14ac:dyDescent="0.25">
      <c r="A596" s="127">
        <v>5</v>
      </c>
      <c r="B596" s="127">
        <v>2</v>
      </c>
      <c r="C596" s="127">
        <v>1</v>
      </c>
      <c r="D596" s="127">
        <v>1</v>
      </c>
      <c r="E596" s="127"/>
      <c r="F596" s="127" t="s">
        <v>482</v>
      </c>
      <c r="G596" s="127"/>
      <c r="H596" s="129"/>
      <c r="I596" s="127"/>
      <c r="J596" s="129"/>
      <c r="K596" s="129"/>
      <c r="L596" s="309"/>
    </row>
    <row r="597" spans="1:12" hidden="1" x14ac:dyDescent="0.25">
      <c r="A597" s="127">
        <v>5</v>
      </c>
      <c r="B597" s="127">
        <v>2</v>
      </c>
      <c r="C597" s="127">
        <v>1</v>
      </c>
      <c r="D597" s="127">
        <v>2</v>
      </c>
      <c r="E597" s="127"/>
      <c r="F597" s="127" t="s">
        <v>483</v>
      </c>
      <c r="G597" s="127"/>
      <c r="H597" s="129"/>
      <c r="I597" s="127"/>
      <c r="J597" s="129"/>
      <c r="K597" s="129"/>
      <c r="L597" s="309"/>
    </row>
    <row r="598" spans="1:12" hidden="1" x14ac:dyDescent="0.25">
      <c r="A598" s="127">
        <v>5</v>
      </c>
      <c r="B598" s="127">
        <v>2</v>
      </c>
      <c r="C598" s="127">
        <v>2</v>
      </c>
      <c r="D598" s="127"/>
      <c r="E598" s="127"/>
      <c r="F598" s="128" t="s">
        <v>67</v>
      </c>
      <c r="G598" s="128"/>
      <c r="H598" s="129"/>
      <c r="I598" s="128"/>
      <c r="J598" s="129"/>
      <c r="K598" s="129"/>
      <c r="L598" s="309"/>
    </row>
    <row r="599" spans="1:12" hidden="1" x14ac:dyDescent="0.25">
      <c r="A599" s="127">
        <v>5</v>
      </c>
      <c r="B599" s="127">
        <v>2</v>
      </c>
      <c r="C599" s="127">
        <v>2</v>
      </c>
      <c r="D599" s="127">
        <v>1</v>
      </c>
      <c r="E599" s="127"/>
      <c r="F599" s="127" t="s">
        <v>484</v>
      </c>
      <c r="G599" s="127"/>
      <c r="H599" s="129"/>
      <c r="I599" s="127"/>
      <c r="J599" s="129"/>
      <c r="K599" s="129"/>
      <c r="L599" s="309"/>
    </row>
    <row r="600" spans="1:12" hidden="1" x14ac:dyDescent="0.25">
      <c r="A600" s="127">
        <v>5</v>
      </c>
      <c r="B600" s="127">
        <v>2</v>
      </c>
      <c r="C600" s="127">
        <v>2</v>
      </c>
      <c r="D600" s="127">
        <v>2</v>
      </c>
      <c r="E600" s="127"/>
      <c r="F600" s="127" t="s">
        <v>485</v>
      </c>
      <c r="G600" s="127"/>
      <c r="H600" s="129"/>
      <c r="I600" s="127"/>
      <c r="J600" s="129"/>
      <c r="K600" s="129"/>
      <c r="L600" s="309"/>
    </row>
    <row r="601" spans="1:12" hidden="1" x14ac:dyDescent="0.25">
      <c r="A601" s="127">
        <v>5</v>
      </c>
      <c r="B601" s="127">
        <v>2</v>
      </c>
      <c r="C601" s="127">
        <v>3</v>
      </c>
      <c r="D601" s="127"/>
      <c r="E601" s="127"/>
      <c r="F601" s="128" t="s">
        <v>68</v>
      </c>
      <c r="G601" s="128"/>
      <c r="H601" s="129"/>
      <c r="I601" s="128"/>
      <c r="J601" s="129"/>
      <c r="K601" s="129"/>
      <c r="L601" s="309"/>
    </row>
    <row r="602" spans="1:12" hidden="1" x14ac:dyDescent="0.25">
      <c r="A602" s="127">
        <v>5</v>
      </c>
      <c r="B602" s="127">
        <v>2</v>
      </c>
      <c r="C602" s="127">
        <v>3</v>
      </c>
      <c r="D602" s="127">
        <v>1</v>
      </c>
      <c r="E602" s="127"/>
      <c r="F602" s="127" t="s">
        <v>486</v>
      </c>
      <c r="G602" s="127"/>
      <c r="H602" s="129"/>
      <c r="I602" s="127"/>
      <c r="J602" s="129"/>
      <c r="K602" s="129"/>
      <c r="L602" s="309"/>
    </row>
    <row r="603" spans="1:12" hidden="1" x14ac:dyDescent="0.25">
      <c r="A603" s="127">
        <v>5</v>
      </c>
      <c r="B603" s="127">
        <v>2</v>
      </c>
      <c r="C603" s="127">
        <v>3</v>
      </c>
      <c r="D603" s="127">
        <v>2</v>
      </c>
      <c r="E603" s="127"/>
      <c r="F603" s="127" t="s">
        <v>487</v>
      </c>
      <c r="G603" s="127"/>
      <c r="H603" s="129"/>
      <c r="I603" s="127"/>
      <c r="J603" s="129"/>
      <c r="K603" s="129"/>
      <c r="L603" s="309"/>
    </row>
    <row r="604" spans="1:12" hidden="1" x14ac:dyDescent="0.25">
      <c r="A604" s="127">
        <v>5</v>
      </c>
      <c r="B604" s="127">
        <v>2</v>
      </c>
      <c r="C604" s="127">
        <v>4</v>
      </c>
      <c r="D604" s="127"/>
      <c r="E604" s="127"/>
      <c r="F604" s="128" t="s">
        <v>69</v>
      </c>
      <c r="G604" s="128"/>
      <c r="H604" s="129"/>
      <c r="I604" s="128"/>
      <c r="J604" s="129"/>
      <c r="K604" s="129"/>
      <c r="L604" s="309"/>
    </row>
    <row r="605" spans="1:12" hidden="1" x14ac:dyDescent="0.25">
      <c r="A605" s="127">
        <v>5</v>
      </c>
      <c r="B605" s="127">
        <v>2</v>
      </c>
      <c r="C605" s="127">
        <v>4</v>
      </c>
      <c r="D605" s="127">
        <v>1</v>
      </c>
      <c r="E605" s="127"/>
      <c r="F605" s="127" t="s">
        <v>488</v>
      </c>
      <c r="G605" s="127"/>
      <c r="H605" s="129"/>
      <c r="I605" s="127"/>
      <c r="J605" s="129"/>
      <c r="K605" s="129"/>
      <c r="L605" s="309"/>
    </row>
    <row r="606" spans="1:12" hidden="1" x14ac:dyDescent="0.25">
      <c r="A606" s="127">
        <v>5</v>
      </c>
      <c r="B606" s="127">
        <v>2</v>
      </c>
      <c r="C606" s="127">
        <v>4</v>
      </c>
      <c r="D606" s="127">
        <v>2</v>
      </c>
      <c r="E606" s="127"/>
      <c r="F606" s="127" t="s">
        <v>489</v>
      </c>
      <c r="G606" s="127"/>
      <c r="H606" s="129"/>
      <c r="I606" s="127"/>
      <c r="J606" s="129"/>
      <c r="K606" s="129"/>
      <c r="L606" s="309"/>
    </row>
    <row r="607" spans="1:12" hidden="1" x14ac:dyDescent="0.25">
      <c r="A607" s="127">
        <v>5</v>
      </c>
      <c r="B607" s="127">
        <v>2</v>
      </c>
      <c r="C607" s="127">
        <v>4</v>
      </c>
      <c r="D607" s="127">
        <v>3</v>
      </c>
      <c r="E607" s="127"/>
      <c r="F607" s="127" t="s">
        <v>490</v>
      </c>
      <c r="G607" s="127"/>
      <c r="H607" s="129"/>
      <c r="I607" s="127"/>
      <c r="J607" s="129"/>
      <c r="K607" s="129"/>
      <c r="L607" s="309"/>
    </row>
    <row r="608" spans="1:12" ht="24" hidden="1" x14ac:dyDescent="0.25">
      <c r="A608" s="127">
        <v>5</v>
      </c>
      <c r="B608" s="127">
        <v>2</v>
      </c>
      <c r="C608" s="127">
        <v>4</v>
      </c>
      <c r="D608" s="127">
        <v>4</v>
      </c>
      <c r="E608" s="127"/>
      <c r="F608" s="127" t="s">
        <v>491</v>
      </c>
      <c r="G608" s="127"/>
      <c r="H608" s="129"/>
      <c r="I608" s="127"/>
      <c r="J608" s="129"/>
      <c r="K608" s="129"/>
      <c r="L608" s="309"/>
    </row>
    <row r="609" spans="1:12" hidden="1" x14ac:dyDescent="0.25">
      <c r="A609" s="127">
        <v>5</v>
      </c>
      <c r="B609" s="127">
        <v>2</v>
      </c>
      <c r="C609" s="127">
        <v>5</v>
      </c>
      <c r="D609" s="127"/>
      <c r="E609" s="127"/>
      <c r="F609" s="128" t="s">
        <v>70</v>
      </c>
      <c r="G609" s="128"/>
      <c r="H609" s="129"/>
      <c r="I609" s="128"/>
      <c r="J609" s="129"/>
      <c r="K609" s="129"/>
      <c r="L609" s="309"/>
    </row>
    <row r="610" spans="1:12" hidden="1" x14ac:dyDescent="0.25">
      <c r="A610" s="127">
        <v>5</v>
      </c>
      <c r="B610" s="127">
        <v>2</v>
      </c>
      <c r="C610" s="127">
        <v>5</v>
      </c>
      <c r="D610" s="127">
        <v>1</v>
      </c>
      <c r="E610" s="127"/>
      <c r="F610" s="127" t="s">
        <v>492</v>
      </c>
      <c r="G610" s="127"/>
      <c r="H610" s="129"/>
      <c r="I610" s="127"/>
      <c r="J610" s="129"/>
      <c r="K610" s="129"/>
      <c r="L610" s="309"/>
    </row>
    <row r="611" spans="1:12" hidden="1" x14ac:dyDescent="0.25">
      <c r="A611" s="127">
        <v>5</v>
      </c>
      <c r="B611" s="127">
        <v>2</v>
      </c>
      <c r="C611" s="127">
        <v>5</v>
      </c>
      <c r="D611" s="127">
        <v>2</v>
      </c>
      <c r="E611" s="127"/>
      <c r="F611" s="127" t="s">
        <v>493</v>
      </c>
      <c r="G611" s="127"/>
      <c r="H611" s="129"/>
      <c r="I611" s="127"/>
      <c r="J611" s="129"/>
      <c r="K611" s="129"/>
      <c r="L611" s="309"/>
    </row>
    <row r="612" spans="1:12" hidden="1" x14ac:dyDescent="0.25">
      <c r="A612" s="127">
        <v>5</v>
      </c>
      <c r="B612" s="127">
        <v>2</v>
      </c>
      <c r="C612" s="127">
        <v>5</v>
      </c>
      <c r="D612" s="127">
        <v>9</v>
      </c>
      <c r="E612" s="127"/>
      <c r="F612" s="127" t="s">
        <v>494</v>
      </c>
      <c r="G612" s="127"/>
      <c r="H612" s="129"/>
      <c r="I612" s="127"/>
      <c r="J612" s="129"/>
      <c r="K612" s="129"/>
      <c r="L612" s="309"/>
    </row>
    <row r="613" spans="1:12" ht="24" hidden="1" x14ac:dyDescent="0.25">
      <c r="A613" s="127">
        <v>5</v>
      </c>
      <c r="B613" s="127">
        <v>2</v>
      </c>
      <c r="C613" s="127">
        <v>6</v>
      </c>
      <c r="D613" s="127"/>
      <c r="E613" s="127"/>
      <c r="F613" s="128" t="s">
        <v>71</v>
      </c>
      <c r="G613" s="128"/>
      <c r="H613" s="129"/>
      <c r="I613" s="128"/>
      <c r="J613" s="129"/>
      <c r="K613" s="129"/>
      <c r="L613" s="309"/>
    </row>
    <row r="614" spans="1:12" ht="24" hidden="1" x14ac:dyDescent="0.25">
      <c r="A614" s="127">
        <v>5</v>
      </c>
      <c r="B614" s="127">
        <v>2</v>
      </c>
      <c r="C614" s="127">
        <v>6</v>
      </c>
      <c r="D614" s="127">
        <v>1</v>
      </c>
      <c r="E614" s="127"/>
      <c r="F614" s="127" t="s">
        <v>495</v>
      </c>
      <c r="G614" s="127"/>
      <c r="H614" s="129"/>
      <c r="I614" s="127"/>
      <c r="J614" s="129"/>
      <c r="K614" s="129"/>
      <c r="L614" s="309"/>
    </row>
    <row r="615" spans="1:12" ht="24" hidden="1" x14ac:dyDescent="0.25">
      <c r="A615" s="127">
        <v>5</v>
      </c>
      <c r="B615" s="127">
        <v>2</v>
      </c>
      <c r="C615" s="127">
        <v>6</v>
      </c>
      <c r="D615" s="127">
        <v>2</v>
      </c>
      <c r="E615" s="127"/>
      <c r="F615" s="127" t="s">
        <v>496</v>
      </c>
      <c r="G615" s="127"/>
      <c r="H615" s="129"/>
      <c r="I615" s="127"/>
      <c r="J615" s="129"/>
      <c r="K615" s="129"/>
      <c r="L615" s="309"/>
    </row>
    <row r="616" spans="1:12" hidden="1" x14ac:dyDescent="0.25">
      <c r="A616" s="127">
        <v>5</v>
      </c>
      <c r="B616" s="127">
        <v>2</v>
      </c>
      <c r="C616" s="127">
        <v>7</v>
      </c>
      <c r="D616" s="127"/>
      <c r="E616" s="127"/>
      <c r="F616" s="128" t="s">
        <v>72</v>
      </c>
      <c r="G616" s="128"/>
      <c r="H616" s="129"/>
      <c r="I616" s="128"/>
      <c r="J616" s="129"/>
      <c r="K616" s="129"/>
      <c r="L616" s="309"/>
    </row>
    <row r="617" spans="1:12" hidden="1" x14ac:dyDescent="0.25">
      <c r="A617" s="127">
        <v>5</v>
      </c>
      <c r="B617" s="127">
        <v>2</v>
      </c>
      <c r="C617" s="127">
        <v>7</v>
      </c>
      <c r="D617" s="127">
        <v>1</v>
      </c>
      <c r="E617" s="127"/>
      <c r="F617" s="127" t="s">
        <v>497</v>
      </c>
      <c r="G617" s="127"/>
      <c r="H617" s="129"/>
      <c r="I617" s="127"/>
      <c r="J617" s="129"/>
      <c r="K617" s="129"/>
      <c r="L617" s="309"/>
    </row>
    <row r="618" spans="1:12" hidden="1" x14ac:dyDescent="0.25">
      <c r="A618" s="127">
        <v>5</v>
      </c>
      <c r="B618" s="127">
        <v>2</v>
      </c>
      <c r="C618" s="127">
        <v>8</v>
      </c>
      <c r="D618" s="127"/>
      <c r="E618" s="127"/>
      <c r="F618" s="128" t="s">
        <v>498</v>
      </c>
      <c r="G618" s="128"/>
      <c r="H618" s="129"/>
      <c r="I618" s="128"/>
      <c r="J618" s="129"/>
      <c r="K618" s="129"/>
      <c r="L618" s="309"/>
    </row>
    <row r="619" spans="1:12" hidden="1" x14ac:dyDescent="0.25">
      <c r="A619" s="127">
        <v>5</v>
      </c>
      <c r="B619" s="127">
        <v>2</v>
      </c>
      <c r="C619" s="127">
        <v>8</v>
      </c>
      <c r="D619" s="127">
        <v>1</v>
      </c>
      <c r="E619" s="127"/>
      <c r="F619" s="127" t="s">
        <v>499</v>
      </c>
      <c r="G619" s="127"/>
      <c r="H619" s="129"/>
      <c r="I619" s="127"/>
      <c r="J619" s="129"/>
      <c r="K619" s="129"/>
      <c r="L619" s="309"/>
    </row>
    <row r="620" spans="1:12" hidden="1" x14ac:dyDescent="0.25">
      <c r="A620" s="127">
        <v>5</v>
      </c>
      <c r="B620" s="127">
        <v>2</v>
      </c>
      <c r="C620" s="127">
        <v>8</v>
      </c>
      <c r="D620" s="127">
        <v>2</v>
      </c>
      <c r="E620" s="127"/>
      <c r="F620" s="127" t="s">
        <v>500</v>
      </c>
      <c r="G620" s="127"/>
      <c r="H620" s="129"/>
      <c r="I620" s="127"/>
      <c r="J620" s="129"/>
      <c r="K620" s="129"/>
      <c r="L620" s="309"/>
    </row>
    <row r="621" spans="1:12" ht="24" hidden="1" x14ac:dyDescent="0.25">
      <c r="A621" s="127">
        <v>5</v>
      </c>
      <c r="B621" s="127">
        <v>2</v>
      </c>
      <c r="C621" s="127">
        <v>8</v>
      </c>
      <c r="D621" s="127">
        <v>3</v>
      </c>
      <c r="E621" s="127"/>
      <c r="F621" s="127" t="s">
        <v>501</v>
      </c>
      <c r="G621" s="127"/>
      <c r="H621" s="129"/>
      <c r="I621" s="127"/>
      <c r="J621" s="129"/>
      <c r="K621" s="129"/>
      <c r="L621" s="309"/>
    </row>
    <row r="622" spans="1:12" ht="24" hidden="1" x14ac:dyDescent="0.25">
      <c r="A622" s="127">
        <v>5</v>
      </c>
      <c r="B622" s="127">
        <v>2</v>
      </c>
      <c r="C622" s="127">
        <v>8</v>
      </c>
      <c r="D622" s="127">
        <v>4</v>
      </c>
      <c r="E622" s="127"/>
      <c r="F622" s="127" t="s">
        <v>502</v>
      </c>
      <c r="G622" s="127"/>
      <c r="H622" s="129"/>
      <c r="I622" s="127"/>
      <c r="J622" s="129"/>
      <c r="K622" s="129"/>
      <c r="L622" s="309"/>
    </row>
    <row r="623" spans="1:12" hidden="1" x14ac:dyDescent="0.25">
      <c r="A623" s="127">
        <v>5</v>
      </c>
      <c r="B623" s="127">
        <v>2</v>
      </c>
      <c r="C623" s="127">
        <v>8</v>
      </c>
      <c r="D623" s="127">
        <v>5</v>
      </c>
      <c r="E623" s="127"/>
      <c r="F623" s="127" t="s">
        <v>503</v>
      </c>
      <c r="G623" s="127"/>
      <c r="H623" s="129"/>
      <c r="I623" s="127"/>
      <c r="J623" s="129"/>
      <c r="K623" s="129"/>
      <c r="L623" s="309"/>
    </row>
    <row r="624" spans="1:12" hidden="1" x14ac:dyDescent="0.25">
      <c r="A624" s="127">
        <v>5</v>
      </c>
      <c r="B624" s="127">
        <v>2</v>
      </c>
      <c r="C624" s="127">
        <v>9</v>
      </c>
      <c r="D624" s="127"/>
      <c r="E624" s="127"/>
      <c r="F624" s="128" t="s">
        <v>74</v>
      </c>
      <c r="G624" s="128"/>
      <c r="H624" s="129"/>
      <c r="I624" s="128"/>
      <c r="J624" s="129"/>
      <c r="K624" s="129"/>
      <c r="L624" s="309"/>
    </row>
    <row r="625" spans="1:12" ht="24" hidden="1" x14ac:dyDescent="0.25">
      <c r="A625" s="127">
        <v>5</v>
      </c>
      <c r="B625" s="127">
        <v>2</v>
      </c>
      <c r="C625" s="127">
        <v>9</v>
      </c>
      <c r="D625" s="127">
        <v>1</v>
      </c>
      <c r="E625" s="127"/>
      <c r="F625" s="127" t="s">
        <v>504</v>
      </c>
      <c r="G625" s="127"/>
      <c r="H625" s="129"/>
      <c r="I625" s="127"/>
      <c r="J625" s="129"/>
      <c r="K625" s="129"/>
      <c r="L625" s="309"/>
    </row>
    <row r="626" spans="1:12" hidden="1" x14ac:dyDescent="0.25">
      <c r="A626" s="127">
        <v>5</v>
      </c>
      <c r="B626" s="127">
        <v>2</v>
      </c>
      <c r="C626" s="127">
        <v>9</v>
      </c>
      <c r="D626" s="127">
        <v>2</v>
      </c>
      <c r="E626" s="127"/>
      <c r="F626" s="127" t="s">
        <v>505</v>
      </c>
      <c r="G626" s="127"/>
      <c r="H626" s="129"/>
      <c r="I626" s="127"/>
      <c r="J626" s="129"/>
      <c r="K626" s="129"/>
      <c r="L626" s="309"/>
    </row>
    <row r="627" spans="1:12" hidden="1" x14ac:dyDescent="0.25">
      <c r="A627" s="126">
        <v>5</v>
      </c>
      <c r="B627" s="126">
        <v>3</v>
      </c>
      <c r="C627" s="126"/>
      <c r="D627" s="126"/>
      <c r="E627" s="126"/>
      <c r="F627" s="126" t="s">
        <v>506</v>
      </c>
      <c r="G627" s="126"/>
      <c r="H627" s="129"/>
      <c r="I627" s="126"/>
      <c r="J627" s="129"/>
      <c r="K627" s="129"/>
      <c r="L627" s="309"/>
    </row>
    <row r="628" spans="1:12" hidden="1" x14ac:dyDescent="0.25">
      <c r="A628" s="127">
        <v>5</v>
      </c>
      <c r="B628" s="127">
        <v>3</v>
      </c>
      <c r="C628" s="127">
        <v>1</v>
      </c>
      <c r="D628" s="127"/>
      <c r="E628" s="127"/>
      <c r="F628" s="128" t="s">
        <v>75</v>
      </c>
      <c r="G628" s="128"/>
      <c r="H628" s="129"/>
      <c r="I628" s="128"/>
      <c r="J628" s="129"/>
      <c r="K628" s="129"/>
      <c r="L628" s="309"/>
    </row>
    <row r="629" spans="1:12" ht="24" hidden="1" x14ac:dyDescent="0.25">
      <c r="A629" s="127">
        <v>5</v>
      </c>
      <c r="B629" s="127">
        <v>3</v>
      </c>
      <c r="C629" s="127">
        <v>1</v>
      </c>
      <c r="D629" s="127">
        <v>1</v>
      </c>
      <c r="E629" s="127"/>
      <c r="F629" s="127" t="s">
        <v>507</v>
      </c>
      <c r="G629" s="127"/>
      <c r="H629" s="129"/>
      <c r="I629" s="127"/>
      <c r="J629" s="129"/>
      <c r="K629" s="129"/>
      <c r="L629" s="309"/>
    </row>
    <row r="630" spans="1:12" ht="24" hidden="1" x14ac:dyDescent="0.25">
      <c r="A630" s="127">
        <v>5</v>
      </c>
      <c r="B630" s="127">
        <v>3</v>
      </c>
      <c r="C630" s="127">
        <v>1</v>
      </c>
      <c r="D630" s="127">
        <v>2</v>
      </c>
      <c r="E630" s="127"/>
      <c r="F630" s="127" t="s">
        <v>508</v>
      </c>
      <c r="G630" s="127"/>
      <c r="H630" s="129"/>
      <c r="I630" s="127"/>
      <c r="J630" s="129"/>
      <c r="K630" s="129"/>
      <c r="L630" s="309"/>
    </row>
    <row r="631" spans="1:12" hidden="1" x14ac:dyDescent="0.25">
      <c r="A631" s="127">
        <v>5</v>
      </c>
      <c r="B631" s="127">
        <v>3</v>
      </c>
      <c r="C631" s="127">
        <v>2</v>
      </c>
      <c r="D631" s="127"/>
      <c r="E631" s="127"/>
      <c r="F631" s="128" t="s">
        <v>76</v>
      </c>
      <c r="G631" s="128"/>
      <c r="H631" s="129"/>
      <c r="I631" s="128"/>
      <c r="J631" s="129"/>
      <c r="K631" s="129"/>
      <c r="L631" s="309"/>
    </row>
    <row r="632" spans="1:12" ht="24" hidden="1" x14ac:dyDescent="0.25">
      <c r="A632" s="127">
        <v>5</v>
      </c>
      <c r="B632" s="127">
        <v>3</v>
      </c>
      <c r="C632" s="127">
        <v>2</v>
      </c>
      <c r="D632" s="127">
        <v>1</v>
      </c>
      <c r="E632" s="127"/>
      <c r="F632" s="127" t="s">
        <v>509</v>
      </c>
      <c r="G632" s="127"/>
      <c r="H632" s="129"/>
      <c r="I632" s="127"/>
      <c r="J632" s="129"/>
      <c r="K632" s="129"/>
      <c r="L632" s="309"/>
    </row>
    <row r="633" spans="1:12" ht="24" hidden="1" x14ac:dyDescent="0.25">
      <c r="A633" s="127">
        <v>5</v>
      </c>
      <c r="B633" s="127">
        <v>3</v>
      </c>
      <c r="C633" s="127">
        <v>2</v>
      </c>
      <c r="D633" s="127">
        <v>2</v>
      </c>
      <c r="E633" s="127"/>
      <c r="F633" s="127" t="s">
        <v>510</v>
      </c>
      <c r="G633" s="127"/>
      <c r="H633" s="129"/>
      <c r="I633" s="127"/>
      <c r="J633" s="129"/>
      <c r="K633" s="129"/>
      <c r="L633" s="309"/>
    </row>
    <row r="634" spans="1:12" hidden="1" x14ac:dyDescent="0.25">
      <c r="A634" s="127">
        <v>5</v>
      </c>
      <c r="B634" s="127">
        <v>3</v>
      </c>
      <c r="C634" s="127">
        <v>3</v>
      </c>
      <c r="D634" s="127"/>
      <c r="E634" s="127"/>
      <c r="F634" s="128" t="s">
        <v>77</v>
      </c>
      <c r="G634" s="128"/>
      <c r="H634" s="129"/>
      <c r="I634" s="128"/>
      <c r="J634" s="129"/>
      <c r="K634" s="129"/>
      <c r="L634" s="309"/>
    </row>
    <row r="635" spans="1:12" hidden="1" x14ac:dyDescent="0.25">
      <c r="A635" s="127">
        <v>5</v>
      </c>
      <c r="B635" s="127">
        <v>3</v>
      </c>
      <c r="C635" s="127">
        <v>3</v>
      </c>
      <c r="D635" s="127">
        <v>1</v>
      </c>
      <c r="E635" s="127"/>
      <c r="F635" s="127" t="s">
        <v>511</v>
      </c>
      <c r="G635" s="127"/>
      <c r="H635" s="129"/>
      <c r="I635" s="127"/>
      <c r="J635" s="129"/>
      <c r="K635" s="129"/>
      <c r="L635" s="309"/>
    </row>
    <row r="636" spans="1:12" hidden="1" x14ac:dyDescent="0.25">
      <c r="A636" s="127">
        <v>5</v>
      </c>
      <c r="B636" s="127">
        <v>3</v>
      </c>
      <c r="C636" s="127">
        <v>3</v>
      </c>
      <c r="D636" s="127">
        <v>2</v>
      </c>
      <c r="E636" s="127"/>
      <c r="F636" s="127" t="s">
        <v>512</v>
      </c>
      <c r="G636" s="127"/>
      <c r="H636" s="129"/>
      <c r="I636" s="127"/>
      <c r="J636" s="129"/>
      <c r="K636" s="129"/>
      <c r="L636" s="309"/>
    </row>
    <row r="637" spans="1:12" ht="24" hidden="1" x14ac:dyDescent="0.25">
      <c r="A637" s="126">
        <v>5</v>
      </c>
      <c r="B637" s="126">
        <v>4</v>
      </c>
      <c r="C637" s="126"/>
      <c r="D637" s="126"/>
      <c r="E637" s="126"/>
      <c r="F637" s="126" t="s">
        <v>513</v>
      </c>
      <c r="G637" s="126"/>
      <c r="H637" s="129"/>
      <c r="I637" s="126"/>
      <c r="J637" s="129"/>
      <c r="K637" s="129"/>
      <c r="L637" s="309"/>
    </row>
    <row r="638" spans="1:12" hidden="1" x14ac:dyDescent="0.25">
      <c r="A638" s="127">
        <v>5</v>
      </c>
      <c r="B638" s="127">
        <v>4</v>
      </c>
      <c r="C638" s="127">
        <v>1</v>
      </c>
      <c r="D638" s="127"/>
      <c r="E638" s="127"/>
      <c r="F638" s="128" t="s">
        <v>79</v>
      </c>
      <c r="G638" s="128"/>
      <c r="H638" s="129"/>
      <c r="I638" s="128"/>
      <c r="J638" s="129"/>
      <c r="K638" s="129"/>
      <c r="L638" s="309"/>
    </row>
    <row r="639" spans="1:12" hidden="1" x14ac:dyDescent="0.25">
      <c r="A639" s="127">
        <v>5</v>
      </c>
      <c r="B639" s="127">
        <v>4</v>
      </c>
      <c r="C639" s="127">
        <v>1</v>
      </c>
      <c r="D639" s="127">
        <v>1</v>
      </c>
      <c r="E639" s="127"/>
      <c r="F639" s="127" t="s">
        <v>514</v>
      </c>
      <c r="G639" s="127"/>
      <c r="H639" s="129"/>
      <c r="I639" s="127"/>
      <c r="J639" s="129"/>
      <c r="K639" s="129"/>
      <c r="L639" s="309"/>
    </row>
    <row r="640" spans="1:12" hidden="1" x14ac:dyDescent="0.25">
      <c r="A640" s="127">
        <v>5</v>
      </c>
      <c r="B640" s="127">
        <v>4</v>
      </c>
      <c r="C640" s="127">
        <v>1</v>
      </c>
      <c r="D640" s="127">
        <v>2</v>
      </c>
      <c r="E640" s="127"/>
      <c r="F640" s="127" t="s">
        <v>515</v>
      </c>
      <c r="G640" s="127"/>
      <c r="H640" s="129"/>
      <c r="I640" s="127"/>
      <c r="J640" s="129"/>
      <c r="K640" s="129"/>
      <c r="L640" s="309"/>
    </row>
    <row r="641" spans="1:12" hidden="1" x14ac:dyDescent="0.25">
      <c r="A641" s="127">
        <v>5</v>
      </c>
      <c r="B641" s="127">
        <v>4</v>
      </c>
      <c r="C641" s="127">
        <v>2</v>
      </c>
      <c r="D641" s="127"/>
      <c r="E641" s="127"/>
      <c r="F641" s="128" t="s">
        <v>80</v>
      </c>
      <c r="G641" s="128"/>
      <c r="H641" s="129"/>
      <c r="I641" s="128"/>
      <c r="J641" s="129"/>
      <c r="K641" s="129"/>
      <c r="L641" s="309"/>
    </row>
    <row r="642" spans="1:12" hidden="1" x14ac:dyDescent="0.25">
      <c r="A642" s="127">
        <v>5</v>
      </c>
      <c r="B642" s="127">
        <v>4</v>
      </c>
      <c r="C642" s="127">
        <v>2</v>
      </c>
      <c r="D642" s="127">
        <v>1</v>
      </c>
      <c r="E642" s="127"/>
      <c r="F642" s="127" t="s">
        <v>516</v>
      </c>
      <c r="G642" s="127"/>
      <c r="H642" s="129"/>
      <c r="I642" s="127"/>
      <c r="J642" s="129"/>
      <c r="K642" s="129"/>
      <c r="L642" s="309"/>
    </row>
    <row r="643" spans="1:12" hidden="1" x14ac:dyDescent="0.25">
      <c r="A643" s="127">
        <v>5</v>
      </c>
      <c r="B643" s="127">
        <v>4</v>
      </c>
      <c r="C643" s="127">
        <v>2</v>
      </c>
      <c r="D643" s="127">
        <v>2</v>
      </c>
      <c r="E643" s="127"/>
      <c r="F643" s="127" t="s">
        <v>517</v>
      </c>
      <c r="G643" s="127"/>
      <c r="H643" s="129"/>
      <c r="I643" s="127"/>
      <c r="J643" s="129"/>
      <c r="K643" s="129"/>
      <c r="L643" s="309"/>
    </row>
    <row r="644" spans="1:12" hidden="1" x14ac:dyDescent="0.25">
      <c r="A644" s="127">
        <v>5</v>
      </c>
      <c r="B644" s="127">
        <v>4</v>
      </c>
      <c r="C644" s="127">
        <v>3</v>
      </c>
      <c r="D644" s="127"/>
      <c r="E644" s="127"/>
      <c r="F644" s="128" t="s">
        <v>81</v>
      </c>
      <c r="G644" s="128"/>
      <c r="H644" s="129"/>
      <c r="I644" s="128"/>
      <c r="J644" s="129"/>
      <c r="K644" s="129"/>
      <c r="L644" s="309"/>
    </row>
    <row r="645" spans="1:12" hidden="1" x14ac:dyDescent="0.25">
      <c r="A645" s="127">
        <v>5</v>
      </c>
      <c r="B645" s="127">
        <v>4</v>
      </c>
      <c r="C645" s="127">
        <v>3</v>
      </c>
      <c r="D645" s="127">
        <v>1</v>
      </c>
      <c r="E645" s="127"/>
      <c r="F645" s="127" t="s">
        <v>518</v>
      </c>
      <c r="G645" s="127"/>
      <c r="H645" s="129"/>
      <c r="I645" s="127"/>
      <c r="J645" s="129"/>
      <c r="K645" s="129"/>
      <c r="L645" s="309"/>
    </row>
    <row r="646" spans="1:12" hidden="1" x14ac:dyDescent="0.25">
      <c r="A646" s="127">
        <v>5</v>
      </c>
      <c r="B646" s="127">
        <v>4</v>
      </c>
      <c r="C646" s="127">
        <v>3</v>
      </c>
      <c r="D646" s="127">
        <v>2</v>
      </c>
      <c r="E646" s="127"/>
      <c r="F646" s="127" t="s">
        <v>519</v>
      </c>
      <c r="G646" s="127"/>
      <c r="H646" s="129"/>
      <c r="I646" s="127"/>
      <c r="J646" s="129"/>
      <c r="K646" s="129"/>
      <c r="L646" s="309"/>
    </row>
    <row r="647" spans="1:12" hidden="1" x14ac:dyDescent="0.25">
      <c r="A647" s="127">
        <v>5</v>
      </c>
      <c r="B647" s="127">
        <v>4</v>
      </c>
      <c r="C647" s="127">
        <v>4</v>
      </c>
      <c r="D647" s="127"/>
      <c r="E647" s="127"/>
      <c r="F647" s="128" t="s">
        <v>82</v>
      </c>
      <c r="G647" s="128"/>
      <c r="H647" s="129"/>
      <c r="I647" s="128"/>
      <c r="J647" s="129"/>
      <c r="K647" s="129"/>
      <c r="L647" s="309"/>
    </row>
    <row r="648" spans="1:12" hidden="1" x14ac:dyDescent="0.25">
      <c r="A648" s="127">
        <v>5</v>
      </c>
      <c r="B648" s="127">
        <v>4</v>
      </c>
      <c r="C648" s="127">
        <v>4</v>
      </c>
      <c r="D648" s="127">
        <v>1</v>
      </c>
      <c r="E648" s="127"/>
      <c r="F648" s="127" t="s">
        <v>82</v>
      </c>
      <c r="G648" s="127"/>
      <c r="H648" s="129"/>
      <c r="I648" s="127"/>
      <c r="J648" s="129"/>
      <c r="K648" s="129"/>
      <c r="L648" s="309"/>
    </row>
    <row r="649" spans="1:12" hidden="1" x14ac:dyDescent="0.25">
      <c r="A649" s="127">
        <v>5</v>
      </c>
      <c r="B649" s="127">
        <v>4</v>
      </c>
      <c r="C649" s="127">
        <v>5</v>
      </c>
      <c r="D649" s="127"/>
      <c r="E649" s="127"/>
      <c r="F649" s="128" t="s">
        <v>83</v>
      </c>
      <c r="G649" s="128"/>
      <c r="H649" s="129"/>
      <c r="I649" s="128"/>
      <c r="J649" s="129"/>
      <c r="K649" s="129"/>
      <c r="L649" s="309"/>
    </row>
    <row r="650" spans="1:12" hidden="1" x14ac:dyDescent="0.25">
      <c r="A650" s="127">
        <v>5</v>
      </c>
      <c r="B650" s="127">
        <v>4</v>
      </c>
      <c r="C650" s="127">
        <v>5</v>
      </c>
      <c r="D650" s="127">
        <v>1</v>
      </c>
      <c r="E650" s="127"/>
      <c r="F650" s="127" t="s">
        <v>520</v>
      </c>
      <c r="G650" s="127"/>
      <c r="H650" s="129"/>
      <c r="I650" s="127"/>
      <c r="J650" s="129"/>
      <c r="K650" s="129"/>
      <c r="L650" s="309"/>
    </row>
    <row r="651" spans="1:12" ht="24" hidden="1" x14ac:dyDescent="0.25">
      <c r="A651" s="127">
        <v>5</v>
      </c>
      <c r="B651" s="127">
        <v>4</v>
      </c>
      <c r="C651" s="127">
        <v>5</v>
      </c>
      <c r="D651" s="127">
        <v>2</v>
      </c>
      <c r="E651" s="127"/>
      <c r="F651" s="127" t="s">
        <v>521</v>
      </c>
      <c r="G651" s="127"/>
      <c r="H651" s="129"/>
      <c r="I651" s="127"/>
      <c r="J651" s="129"/>
      <c r="K651" s="129"/>
      <c r="L651" s="309"/>
    </row>
    <row r="652" spans="1:12" ht="24" x14ac:dyDescent="0.25">
      <c r="A652" s="137">
        <v>5</v>
      </c>
      <c r="B652" s="137">
        <v>5</v>
      </c>
      <c r="C652" s="137"/>
      <c r="D652" s="137"/>
      <c r="E652" s="137"/>
      <c r="F652" s="137" t="s">
        <v>522</v>
      </c>
      <c r="G652" s="131">
        <f t="shared" ref="G652:J652" si="88">+G653+G661+G664+G670+G672+G674</f>
        <v>139700</v>
      </c>
      <c r="H652" s="131">
        <f t="shared" si="88"/>
        <v>178500</v>
      </c>
      <c r="I652" s="131">
        <f t="shared" si="88"/>
        <v>0</v>
      </c>
      <c r="J652" s="131">
        <f t="shared" si="88"/>
        <v>178500</v>
      </c>
      <c r="K652" s="131"/>
      <c r="L652" s="309"/>
    </row>
    <row r="653" spans="1:12" ht="24" hidden="1" x14ac:dyDescent="0.25">
      <c r="A653" s="127">
        <v>5</v>
      </c>
      <c r="B653" s="127">
        <v>5</v>
      </c>
      <c r="C653" s="127">
        <v>1</v>
      </c>
      <c r="D653" s="127"/>
      <c r="E653" s="127"/>
      <c r="F653" s="128" t="s">
        <v>85</v>
      </c>
      <c r="G653" s="128"/>
      <c r="H653" s="129"/>
      <c r="I653" s="128"/>
      <c r="J653" s="129"/>
      <c r="K653" s="129"/>
      <c r="L653" s="309"/>
    </row>
    <row r="654" spans="1:12" ht="24" hidden="1" x14ac:dyDescent="0.25">
      <c r="A654" s="127">
        <v>5</v>
      </c>
      <c r="B654" s="127">
        <v>5</v>
      </c>
      <c r="C654" s="127">
        <v>1</v>
      </c>
      <c r="D654" s="127">
        <v>1</v>
      </c>
      <c r="E654" s="127"/>
      <c r="F654" s="127" t="s">
        <v>523</v>
      </c>
      <c r="G654" s="127"/>
      <c r="H654" s="129"/>
      <c r="I654" s="127"/>
      <c r="J654" s="129"/>
      <c r="K654" s="129"/>
      <c r="L654" s="309"/>
    </row>
    <row r="655" spans="1:12" ht="24" hidden="1" x14ac:dyDescent="0.25">
      <c r="A655" s="127">
        <v>5</v>
      </c>
      <c r="B655" s="127">
        <v>5</v>
      </c>
      <c r="C655" s="127">
        <v>1</v>
      </c>
      <c r="D655" s="127">
        <v>2</v>
      </c>
      <c r="E655" s="127"/>
      <c r="F655" s="127" t="s">
        <v>524</v>
      </c>
      <c r="G655" s="127"/>
      <c r="H655" s="129"/>
      <c r="I655" s="127"/>
      <c r="J655" s="129"/>
      <c r="K655" s="129"/>
      <c r="L655" s="309"/>
    </row>
    <row r="656" spans="1:12" hidden="1" x14ac:dyDescent="0.25">
      <c r="A656" s="127">
        <v>5</v>
      </c>
      <c r="B656" s="127">
        <v>5</v>
      </c>
      <c r="C656" s="127">
        <v>1</v>
      </c>
      <c r="D656" s="127">
        <v>3</v>
      </c>
      <c r="E656" s="127"/>
      <c r="F656" s="127" t="s">
        <v>525</v>
      </c>
      <c r="G656" s="127"/>
      <c r="H656" s="129"/>
      <c r="I656" s="127"/>
      <c r="J656" s="129"/>
      <c r="K656" s="129"/>
      <c r="L656" s="309"/>
    </row>
    <row r="657" spans="1:12" hidden="1" x14ac:dyDescent="0.25">
      <c r="A657" s="127">
        <v>5</v>
      </c>
      <c r="B657" s="127">
        <v>5</v>
      </c>
      <c r="C657" s="127">
        <v>1</v>
      </c>
      <c r="D657" s="127">
        <v>4</v>
      </c>
      <c r="E657" s="127"/>
      <c r="F657" s="127" t="s">
        <v>526</v>
      </c>
      <c r="G657" s="127"/>
      <c r="H657" s="129"/>
      <c r="I657" s="127"/>
      <c r="J657" s="129"/>
      <c r="K657" s="129"/>
      <c r="L657" s="309"/>
    </row>
    <row r="658" spans="1:12" hidden="1" x14ac:dyDescent="0.25">
      <c r="A658" s="127">
        <v>5</v>
      </c>
      <c r="B658" s="127">
        <v>5</v>
      </c>
      <c r="C658" s="127">
        <v>1</v>
      </c>
      <c r="D658" s="127">
        <v>5</v>
      </c>
      <c r="E658" s="127"/>
      <c r="F658" s="127" t="s">
        <v>527</v>
      </c>
      <c r="G658" s="127"/>
      <c r="H658" s="129"/>
      <c r="I658" s="127"/>
      <c r="J658" s="129"/>
      <c r="K658" s="129"/>
      <c r="L658" s="309"/>
    </row>
    <row r="659" spans="1:12" hidden="1" x14ac:dyDescent="0.25">
      <c r="A659" s="127">
        <v>5</v>
      </c>
      <c r="B659" s="127">
        <v>5</v>
      </c>
      <c r="C659" s="127">
        <v>1</v>
      </c>
      <c r="D659" s="127">
        <v>6</v>
      </c>
      <c r="E659" s="127"/>
      <c r="F659" s="127" t="s">
        <v>528</v>
      </c>
      <c r="G659" s="127"/>
      <c r="H659" s="129"/>
      <c r="I659" s="127"/>
      <c r="J659" s="129"/>
      <c r="K659" s="129"/>
      <c r="L659" s="309"/>
    </row>
    <row r="660" spans="1:12" hidden="1" x14ac:dyDescent="0.25">
      <c r="A660" s="127">
        <v>5</v>
      </c>
      <c r="B660" s="127">
        <v>5</v>
      </c>
      <c r="C660" s="127">
        <v>1</v>
      </c>
      <c r="D660" s="127">
        <v>7</v>
      </c>
      <c r="E660" s="127"/>
      <c r="F660" s="127" t="s">
        <v>529</v>
      </c>
      <c r="G660" s="127"/>
      <c r="H660" s="129"/>
      <c r="I660" s="127"/>
      <c r="J660" s="129"/>
      <c r="K660" s="129"/>
      <c r="L660" s="309"/>
    </row>
    <row r="661" spans="1:12" hidden="1" x14ac:dyDescent="0.25">
      <c r="A661" s="127">
        <v>5</v>
      </c>
      <c r="B661" s="127">
        <v>5</v>
      </c>
      <c r="C661" s="127">
        <v>2</v>
      </c>
      <c r="D661" s="127"/>
      <c r="E661" s="127"/>
      <c r="F661" s="128" t="s">
        <v>86</v>
      </c>
      <c r="G661" s="128"/>
      <c r="H661" s="129"/>
      <c r="I661" s="128"/>
      <c r="J661" s="129"/>
      <c r="K661" s="129"/>
      <c r="L661" s="309"/>
    </row>
    <row r="662" spans="1:12" hidden="1" x14ac:dyDescent="0.25">
      <c r="A662" s="127">
        <v>5</v>
      </c>
      <c r="B662" s="127">
        <v>5</v>
      </c>
      <c r="C662" s="127">
        <v>2</v>
      </c>
      <c r="D662" s="127">
        <v>1</v>
      </c>
      <c r="E662" s="127"/>
      <c r="F662" s="127" t="s">
        <v>530</v>
      </c>
      <c r="G662" s="127"/>
      <c r="H662" s="129"/>
      <c r="I662" s="127"/>
      <c r="J662" s="129"/>
      <c r="K662" s="129"/>
      <c r="L662" s="309"/>
    </row>
    <row r="663" spans="1:12" hidden="1" x14ac:dyDescent="0.25">
      <c r="A663" s="127">
        <v>5</v>
      </c>
      <c r="B663" s="127">
        <v>5</v>
      </c>
      <c r="C663" s="127">
        <v>2</v>
      </c>
      <c r="D663" s="127">
        <v>2</v>
      </c>
      <c r="E663" s="127"/>
      <c r="F663" s="127" t="s">
        <v>531</v>
      </c>
      <c r="G663" s="127"/>
      <c r="H663" s="129"/>
      <c r="I663" s="127"/>
      <c r="J663" s="129"/>
      <c r="K663" s="129"/>
      <c r="L663" s="309"/>
    </row>
    <row r="664" spans="1:12" hidden="1" x14ac:dyDescent="0.25">
      <c r="A664" s="127">
        <v>5</v>
      </c>
      <c r="B664" s="127">
        <v>5</v>
      </c>
      <c r="C664" s="127">
        <v>3</v>
      </c>
      <c r="D664" s="127"/>
      <c r="E664" s="127"/>
      <c r="F664" s="128" t="s">
        <v>87</v>
      </c>
      <c r="G664" s="128"/>
      <c r="H664" s="129"/>
      <c r="I664" s="128"/>
      <c r="J664" s="129"/>
      <c r="K664" s="129"/>
      <c r="L664" s="309"/>
    </row>
    <row r="665" spans="1:12" ht="24" hidden="1" x14ac:dyDescent="0.25">
      <c r="A665" s="127">
        <v>5</v>
      </c>
      <c r="B665" s="127">
        <v>5</v>
      </c>
      <c r="C665" s="127">
        <v>3</v>
      </c>
      <c r="D665" s="127">
        <v>1</v>
      </c>
      <c r="E665" s="127"/>
      <c r="F665" s="127" t="s">
        <v>532</v>
      </c>
      <c r="G665" s="127"/>
      <c r="H665" s="129"/>
      <c r="I665" s="127"/>
      <c r="J665" s="129"/>
      <c r="K665" s="129"/>
      <c r="L665" s="309"/>
    </row>
    <row r="666" spans="1:12" ht="24" hidden="1" x14ac:dyDescent="0.25">
      <c r="A666" s="127">
        <v>5</v>
      </c>
      <c r="B666" s="127">
        <v>5</v>
      </c>
      <c r="C666" s="127">
        <v>3</v>
      </c>
      <c r="D666" s="127">
        <v>2</v>
      </c>
      <c r="E666" s="127"/>
      <c r="F666" s="127" t="s">
        <v>533</v>
      </c>
      <c r="G666" s="127"/>
      <c r="H666" s="129"/>
      <c r="I666" s="127"/>
      <c r="J666" s="129"/>
      <c r="K666" s="129"/>
      <c r="L666" s="309"/>
    </row>
    <row r="667" spans="1:12" ht="24" hidden="1" x14ac:dyDescent="0.25">
      <c r="A667" s="127">
        <v>5</v>
      </c>
      <c r="B667" s="127">
        <v>5</v>
      </c>
      <c r="C667" s="127">
        <v>3</v>
      </c>
      <c r="D667" s="127">
        <v>3</v>
      </c>
      <c r="E667" s="127"/>
      <c r="F667" s="127" t="s">
        <v>534</v>
      </c>
      <c r="G667" s="127"/>
      <c r="H667" s="129"/>
      <c r="I667" s="127"/>
      <c r="J667" s="129"/>
      <c r="K667" s="129"/>
      <c r="L667" s="309"/>
    </row>
    <row r="668" spans="1:12" ht="24" hidden="1" x14ac:dyDescent="0.25">
      <c r="A668" s="127">
        <v>5</v>
      </c>
      <c r="B668" s="127">
        <v>5</v>
      </c>
      <c r="C668" s="127">
        <v>3</v>
      </c>
      <c r="D668" s="127">
        <v>4</v>
      </c>
      <c r="E668" s="127"/>
      <c r="F668" s="127" t="s">
        <v>535</v>
      </c>
      <c r="G668" s="127"/>
      <c r="H668" s="129"/>
      <c r="I668" s="127"/>
      <c r="J668" s="129"/>
      <c r="K668" s="129"/>
      <c r="L668" s="309"/>
    </row>
    <row r="669" spans="1:12" ht="24" hidden="1" x14ac:dyDescent="0.25">
      <c r="A669" s="127">
        <v>5</v>
      </c>
      <c r="B669" s="127">
        <v>5</v>
      </c>
      <c r="C669" s="127">
        <v>3</v>
      </c>
      <c r="D669" s="127">
        <v>5</v>
      </c>
      <c r="E669" s="127"/>
      <c r="F669" s="127" t="s">
        <v>536</v>
      </c>
      <c r="G669" s="127"/>
      <c r="H669" s="129"/>
      <c r="I669" s="127"/>
      <c r="J669" s="129"/>
      <c r="K669" s="129"/>
      <c r="L669" s="309"/>
    </row>
    <row r="670" spans="1:12" ht="24" hidden="1" x14ac:dyDescent="0.25">
      <c r="A670" s="127">
        <v>5</v>
      </c>
      <c r="B670" s="127">
        <v>5</v>
      </c>
      <c r="C670" s="127">
        <v>4</v>
      </c>
      <c r="D670" s="127"/>
      <c r="E670" s="127"/>
      <c r="F670" s="128" t="s">
        <v>537</v>
      </c>
      <c r="G670" s="128"/>
      <c r="H670" s="129"/>
      <c r="I670" s="128"/>
      <c r="J670" s="129"/>
      <c r="K670" s="129"/>
      <c r="L670" s="309"/>
    </row>
    <row r="671" spans="1:12" ht="24" hidden="1" x14ac:dyDescent="0.25">
      <c r="A671" s="127">
        <v>5</v>
      </c>
      <c r="B671" s="127">
        <v>5</v>
      </c>
      <c r="C671" s="127">
        <v>4</v>
      </c>
      <c r="D671" s="127">
        <v>1</v>
      </c>
      <c r="E671" s="127"/>
      <c r="F671" s="127" t="s">
        <v>537</v>
      </c>
      <c r="G671" s="127"/>
      <c r="H671" s="129"/>
      <c r="I671" s="127"/>
      <c r="J671" s="129"/>
      <c r="K671" s="129"/>
      <c r="L671" s="309"/>
    </row>
    <row r="672" spans="1:12" hidden="1" x14ac:dyDescent="0.25">
      <c r="A672" s="127">
        <v>5</v>
      </c>
      <c r="B672" s="127">
        <v>5</v>
      </c>
      <c r="C672" s="127">
        <v>5</v>
      </c>
      <c r="D672" s="127"/>
      <c r="E672" s="127"/>
      <c r="F672" s="128" t="s">
        <v>89</v>
      </c>
      <c r="G672" s="128"/>
      <c r="H672" s="129"/>
      <c r="I672" s="128"/>
      <c r="J672" s="129"/>
      <c r="K672" s="129"/>
      <c r="L672" s="309"/>
    </row>
    <row r="673" spans="1:12" hidden="1" x14ac:dyDescent="0.25">
      <c r="A673" s="127">
        <v>5</v>
      </c>
      <c r="B673" s="127">
        <v>5</v>
      </c>
      <c r="C673" s="127">
        <v>5</v>
      </c>
      <c r="D673" s="127">
        <v>1</v>
      </c>
      <c r="E673" s="127"/>
      <c r="F673" s="127" t="s">
        <v>89</v>
      </c>
      <c r="G673" s="127"/>
      <c r="H673" s="129"/>
      <c r="I673" s="127"/>
      <c r="J673" s="129"/>
      <c r="K673" s="129"/>
      <c r="L673" s="309"/>
    </row>
    <row r="674" spans="1:12" x14ac:dyDescent="0.25">
      <c r="A674" s="127">
        <v>5</v>
      </c>
      <c r="B674" s="127">
        <v>5</v>
      </c>
      <c r="C674" s="127">
        <v>9</v>
      </c>
      <c r="D674" s="127"/>
      <c r="E674" s="127"/>
      <c r="F674" s="128" t="s">
        <v>90</v>
      </c>
      <c r="G674" s="468">
        <f t="shared" ref="G674:J674" si="89">SUM(G675:G682)</f>
        <v>139700</v>
      </c>
      <c r="H674" s="468">
        <f t="shared" si="89"/>
        <v>178500</v>
      </c>
      <c r="I674" s="468">
        <f t="shared" si="89"/>
        <v>0</v>
      </c>
      <c r="J674" s="468">
        <f t="shared" si="89"/>
        <v>178500</v>
      </c>
      <c r="K674" s="468"/>
      <c r="L674" s="309"/>
    </row>
    <row r="675" spans="1:12" hidden="1" x14ac:dyDescent="0.25">
      <c r="A675" s="127">
        <v>5</v>
      </c>
      <c r="B675" s="127">
        <v>5</v>
      </c>
      <c r="C675" s="127">
        <v>9</v>
      </c>
      <c r="D675" s="127">
        <v>1</v>
      </c>
      <c r="E675" s="127"/>
      <c r="F675" s="127" t="s">
        <v>538</v>
      </c>
      <c r="G675" s="127"/>
      <c r="H675" s="129"/>
      <c r="I675" s="127"/>
      <c r="J675" s="129"/>
      <c r="K675" s="129"/>
      <c r="L675" s="309"/>
    </row>
    <row r="676" spans="1:12" hidden="1" x14ac:dyDescent="0.25">
      <c r="A676" s="127">
        <v>5</v>
      </c>
      <c r="B676" s="127">
        <v>5</v>
      </c>
      <c r="C676" s="127">
        <v>9</v>
      </c>
      <c r="D676" s="127">
        <v>2</v>
      </c>
      <c r="E676" s="127"/>
      <c r="F676" s="127" t="s">
        <v>539</v>
      </c>
      <c r="G676" s="127"/>
      <c r="H676" s="129"/>
      <c r="I676" s="127"/>
      <c r="J676" s="129"/>
      <c r="K676" s="129"/>
      <c r="L676" s="309"/>
    </row>
    <row r="677" spans="1:12" hidden="1" x14ac:dyDescent="0.25">
      <c r="A677" s="127">
        <v>5</v>
      </c>
      <c r="B677" s="127">
        <v>5</v>
      </c>
      <c r="C677" s="127">
        <v>9</v>
      </c>
      <c r="D677" s="127">
        <v>3</v>
      </c>
      <c r="E677" s="127"/>
      <c r="F677" s="127" t="s">
        <v>540</v>
      </c>
      <c r="G677" s="127"/>
      <c r="H677" s="129"/>
      <c r="I677" s="127"/>
      <c r="J677" s="129"/>
      <c r="K677" s="129"/>
      <c r="L677" s="309"/>
    </row>
    <row r="678" spans="1:12" ht="24" hidden="1" x14ac:dyDescent="0.25">
      <c r="A678" s="127">
        <v>5</v>
      </c>
      <c r="B678" s="127">
        <v>5</v>
      </c>
      <c r="C678" s="127">
        <v>9</v>
      </c>
      <c r="D678" s="127">
        <v>4</v>
      </c>
      <c r="E678" s="127"/>
      <c r="F678" s="127" t="s">
        <v>541</v>
      </c>
      <c r="G678" s="127"/>
      <c r="H678" s="129"/>
      <c r="I678" s="127"/>
      <c r="J678" s="129"/>
      <c r="K678" s="129"/>
      <c r="L678" s="309"/>
    </row>
    <row r="679" spans="1:12" ht="24" hidden="1" x14ac:dyDescent="0.25">
      <c r="A679" s="127">
        <v>5</v>
      </c>
      <c r="B679" s="127">
        <v>5</v>
      </c>
      <c r="C679" s="127">
        <v>9</v>
      </c>
      <c r="D679" s="127">
        <v>5</v>
      </c>
      <c r="E679" s="127"/>
      <c r="F679" s="127" t="s">
        <v>542</v>
      </c>
      <c r="G679" s="127"/>
      <c r="H679" s="129"/>
      <c r="I679" s="127"/>
      <c r="J679" s="129"/>
      <c r="K679" s="129"/>
      <c r="L679" s="309"/>
    </row>
    <row r="680" spans="1:12" hidden="1" x14ac:dyDescent="0.25">
      <c r="A680" s="127">
        <v>5</v>
      </c>
      <c r="B680" s="127">
        <v>5</v>
      </c>
      <c r="C680" s="127">
        <v>9</v>
      </c>
      <c r="D680" s="127">
        <v>6</v>
      </c>
      <c r="E680" s="127"/>
      <c r="F680" s="127" t="s">
        <v>148</v>
      </c>
      <c r="G680" s="127"/>
      <c r="H680" s="129"/>
      <c r="I680" s="127"/>
      <c r="J680" s="129"/>
      <c r="K680" s="129"/>
      <c r="L680" s="309"/>
    </row>
    <row r="681" spans="1:12" hidden="1" x14ac:dyDescent="0.25">
      <c r="A681" s="127">
        <v>5</v>
      </c>
      <c r="B681" s="127">
        <v>5</v>
      </c>
      <c r="C681" s="127">
        <v>9</v>
      </c>
      <c r="D681" s="127">
        <v>7</v>
      </c>
      <c r="E681" s="127"/>
      <c r="F681" s="127" t="s">
        <v>543</v>
      </c>
      <c r="G681" s="127"/>
      <c r="H681" s="129"/>
      <c r="I681" s="127"/>
      <c r="J681" s="129"/>
      <c r="K681" s="129"/>
      <c r="L681" s="309"/>
    </row>
    <row r="682" spans="1:12" x14ac:dyDescent="0.25">
      <c r="A682" s="127">
        <v>5</v>
      </c>
      <c r="B682" s="127">
        <v>5</v>
      </c>
      <c r="C682" s="127">
        <v>9</v>
      </c>
      <c r="D682" s="127">
        <v>9</v>
      </c>
      <c r="E682" s="127"/>
      <c r="F682" s="127" t="s">
        <v>544</v>
      </c>
      <c r="G682" s="129">
        <f>SUM(G683:G686)</f>
        <v>139700</v>
      </c>
      <c r="H682" s="129">
        <f t="shared" ref="H682:J682" si="90">SUM(H683:H686)</f>
        <v>178500</v>
      </c>
      <c r="I682" s="129">
        <f t="shared" si="90"/>
        <v>0</v>
      </c>
      <c r="J682" s="129">
        <f t="shared" si="90"/>
        <v>178500</v>
      </c>
      <c r="K682" s="129"/>
      <c r="L682" s="309"/>
    </row>
    <row r="683" spans="1:12" x14ac:dyDescent="0.25">
      <c r="A683" s="127"/>
      <c r="B683" s="127"/>
      <c r="C683" s="127"/>
      <c r="D683" s="127"/>
      <c r="E683" s="127"/>
      <c r="F683" s="127" t="s">
        <v>819</v>
      </c>
      <c r="G683" s="140">
        <v>0</v>
      </c>
      <c r="H683" s="129">
        <v>0</v>
      </c>
      <c r="I683" s="127"/>
      <c r="J683" s="129">
        <f>+G683+H683-I683</f>
        <v>0</v>
      </c>
      <c r="K683" s="129"/>
      <c r="L683" s="309"/>
    </row>
    <row r="684" spans="1:12" ht="24" x14ac:dyDescent="0.25">
      <c r="A684" s="127"/>
      <c r="B684" s="127"/>
      <c r="C684" s="127"/>
      <c r="D684" s="127"/>
      <c r="E684" s="127"/>
      <c r="F684" s="127" t="s">
        <v>820</v>
      </c>
      <c r="G684" s="140">
        <v>0</v>
      </c>
      <c r="H684" s="129">
        <v>0</v>
      </c>
      <c r="I684" s="127"/>
      <c r="J684" s="129">
        <f t="shared" ref="J684:J685" si="91">+G684+H684-I684</f>
        <v>0</v>
      </c>
      <c r="K684" s="129"/>
      <c r="L684" s="309"/>
    </row>
    <row r="685" spans="1:12" x14ac:dyDescent="0.25">
      <c r="A685" s="127"/>
      <c r="B685" s="127"/>
      <c r="C685" s="127"/>
      <c r="D685" s="127"/>
      <c r="E685" s="127"/>
      <c r="F685" s="127" t="s">
        <v>302</v>
      </c>
      <c r="G685" s="140">
        <v>0</v>
      </c>
      <c r="H685" s="129">
        <v>0</v>
      </c>
      <c r="I685" s="127"/>
      <c r="J685" s="129">
        <f t="shared" si="91"/>
        <v>0</v>
      </c>
      <c r="K685" s="129"/>
      <c r="L685" s="309"/>
    </row>
    <row r="686" spans="1:12" x14ac:dyDescent="0.25">
      <c r="A686" s="127"/>
      <c r="B686" s="127"/>
      <c r="C686" s="127"/>
      <c r="D686" s="127"/>
      <c r="E686" s="127"/>
      <c r="F686" s="127" t="s">
        <v>838</v>
      </c>
      <c r="G686" s="140">
        <v>139700</v>
      </c>
      <c r="H686" s="129">
        <v>178500</v>
      </c>
      <c r="I686" s="127">
        <v>0</v>
      </c>
      <c r="J686" s="129">
        <f t="shared" ref="J686" si="92">H686</f>
        <v>178500</v>
      </c>
      <c r="K686" s="129"/>
      <c r="L686" s="309"/>
    </row>
    <row r="687" spans="1:12" x14ac:dyDescent="0.25">
      <c r="A687" s="125">
        <v>6</v>
      </c>
      <c r="B687" s="125"/>
      <c r="C687" s="125"/>
      <c r="D687" s="125"/>
      <c r="E687" s="125"/>
      <c r="F687" s="125" t="s">
        <v>545</v>
      </c>
      <c r="G687" s="125">
        <v>0</v>
      </c>
      <c r="H687" s="129"/>
      <c r="I687" s="125"/>
      <c r="J687" s="129"/>
      <c r="K687" s="129"/>
      <c r="L687" s="309"/>
    </row>
    <row r="688" spans="1:12" x14ac:dyDescent="0.25">
      <c r="A688" s="126">
        <v>6</v>
      </c>
      <c r="B688" s="126">
        <v>1</v>
      </c>
      <c r="C688" s="126"/>
      <c r="D688" s="126"/>
      <c r="E688" s="126"/>
      <c r="F688" s="126" t="s">
        <v>546</v>
      </c>
      <c r="G688" s="126"/>
      <c r="H688" s="129"/>
      <c r="I688" s="126"/>
      <c r="J688" s="129"/>
      <c r="K688" s="129"/>
      <c r="L688" s="309"/>
    </row>
    <row r="689" spans="1:12" x14ac:dyDescent="0.25">
      <c r="A689" s="126">
        <v>6</v>
      </c>
      <c r="B689" s="126">
        <v>2</v>
      </c>
      <c r="C689" s="126"/>
      <c r="D689" s="126"/>
      <c r="E689" s="126"/>
      <c r="F689" s="126" t="s">
        <v>547</v>
      </c>
      <c r="G689" s="126"/>
      <c r="H689" s="129"/>
      <c r="I689" s="126"/>
      <c r="J689" s="129"/>
      <c r="K689" s="129"/>
      <c r="L689" s="309"/>
    </row>
    <row r="690" spans="1:12" x14ac:dyDescent="0.25">
      <c r="A690" s="126">
        <v>6</v>
      </c>
      <c r="B690" s="126">
        <v>3</v>
      </c>
      <c r="C690" s="126"/>
      <c r="D690" s="126"/>
      <c r="E690" s="126"/>
      <c r="F690" s="126" t="s">
        <v>548</v>
      </c>
      <c r="G690" s="126"/>
      <c r="H690" s="129"/>
      <c r="I690" s="126"/>
      <c r="J690" s="129"/>
      <c r="K690" s="129"/>
      <c r="L690" s="309"/>
    </row>
    <row r="691" spans="1:12" x14ac:dyDescent="0.25">
      <c r="A691" s="344">
        <v>7</v>
      </c>
      <c r="B691" s="344"/>
      <c r="C691" s="344"/>
      <c r="D691" s="344"/>
      <c r="E691" s="344"/>
      <c r="F691" s="125" t="s">
        <v>549</v>
      </c>
      <c r="G691" s="125"/>
      <c r="H691" s="129"/>
      <c r="I691" s="125"/>
      <c r="J691" s="129"/>
      <c r="K691" s="129"/>
      <c r="L691" s="309"/>
    </row>
    <row r="692" spans="1:12" hidden="1" x14ac:dyDescent="0.25">
      <c r="A692" s="126">
        <v>7</v>
      </c>
      <c r="B692" s="126">
        <v>1</v>
      </c>
      <c r="C692" s="126"/>
      <c r="D692" s="126"/>
      <c r="E692" s="126"/>
      <c r="F692" s="126" t="s">
        <v>550</v>
      </c>
      <c r="G692" s="126"/>
      <c r="H692" s="129"/>
      <c r="I692" s="126"/>
      <c r="J692" s="129"/>
      <c r="K692" s="129"/>
      <c r="L692" s="309"/>
    </row>
    <row r="693" spans="1:12" hidden="1" x14ac:dyDescent="0.25">
      <c r="A693" s="127">
        <v>7</v>
      </c>
      <c r="B693" s="127">
        <v>1</v>
      </c>
      <c r="C693" s="127">
        <v>1</v>
      </c>
      <c r="D693" s="127"/>
      <c r="E693" s="127"/>
      <c r="F693" s="128" t="s">
        <v>551</v>
      </c>
      <c r="G693" s="128"/>
      <c r="H693" s="129"/>
      <c r="I693" s="128"/>
      <c r="J693" s="129"/>
      <c r="K693" s="129"/>
      <c r="L693" s="309"/>
    </row>
    <row r="694" spans="1:12" hidden="1" x14ac:dyDescent="0.25">
      <c r="A694" s="127">
        <v>7</v>
      </c>
      <c r="B694" s="127">
        <v>1</v>
      </c>
      <c r="C694" s="127">
        <v>2</v>
      </c>
      <c r="D694" s="127"/>
      <c r="E694" s="127"/>
      <c r="F694" s="128" t="s">
        <v>552</v>
      </c>
      <c r="G694" s="128"/>
      <c r="H694" s="129"/>
      <c r="I694" s="128"/>
      <c r="J694" s="129"/>
      <c r="K694" s="129"/>
      <c r="L694" s="309"/>
    </row>
    <row r="695" spans="1:12" ht="24" hidden="1" x14ac:dyDescent="0.25">
      <c r="A695" s="127">
        <v>7</v>
      </c>
      <c r="B695" s="127">
        <v>1</v>
      </c>
      <c r="C695" s="127">
        <v>3</v>
      </c>
      <c r="D695" s="127"/>
      <c r="E695" s="127"/>
      <c r="F695" s="128" t="s">
        <v>553</v>
      </c>
      <c r="G695" s="128"/>
      <c r="H695" s="129"/>
      <c r="I695" s="128"/>
      <c r="J695" s="129"/>
      <c r="K695" s="129"/>
      <c r="L695" s="309"/>
    </row>
    <row r="696" spans="1:12" ht="24" hidden="1" x14ac:dyDescent="0.25">
      <c r="A696" s="127">
        <v>7</v>
      </c>
      <c r="B696" s="127">
        <v>1</v>
      </c>
      <c r="C696" s="127">
        <v>4</v>
      </c>
      <c r="D696" s="127"/>
      <c r="E696" s="127"/>
      <c r="F696" s="128" t="s">
        <v>554</v>
      </c>
      <c r="G696" s="128"/>
      <c r="H696" s="129"/>
      <c r="I696" s="128"/>
      <c r="J696" s="129"/>
      <c r="K696" s="129"/>
      <c r="L696" s="309"/>
    </row>
    <row r="697" spans="1:12" ht="24" hidden="1" x14ac:dyDescent="0.25">
      <c r="A697" s="127">
        <v>7</v>
      </c>
      <c r="B697" s="127">
        <v>1</v>
      </c>
      <c r="C697" s="127">
        <v>5</v>
      </c>
      <c r="D697" s="127"/>
      <c r="E697" s="127"/>
      <c r="F697" s="128" t="s">
        <v>555</v>
      </c>
      <c r="G697" s="128"/>
      <c r="H697" s="129"/>
      <c r="I697" s="128"/>
      <c r="J697" s="129"/>
      <c r="K697" s="129"/>
      <c r="L697" s="309"/>
    </row>
    <row r="698" spans="1:12" ht="24" hidden="1" x14ac:dyDescent="0.25">
      <c r="A698" s="127">
        <v>7</v>
      </c>
      <c r="B698" s="127">
        <v>1</v>
      </c>
      <c r="C698" s="127">
        <v>6</v>
      </c>
      <c r="D698" s="127"/>
      <c r="E698" s="127"/>
      <c r="F698" s="128" t="s">
        <v>556</v>
      </c>
      <c r="G698" s="128"/>
      <c r="H698" s="129"/>
      <c r="I698" s="128"/>
      <c r="J698" s="129"/>
      <c r="K698" s="129"/>
      <c r="L698" s="309"/>
    </row>
    <row r="699" spans="1:12" hidden="1" x14ac:dyDescent="0.25">
      <c r="A699" s="126">
        <v>7</v>
      </c>
      <c r="B699" s="126">
        <v>2</v>
      </c>
      <c r="C699" s="126"/>
      <c r="D699" s="126"/>
      <c r="E699" s="126"/>
      <c r="F699" s="126" t="s">
        <v>557</v>
      </c>
      <c r="G699" s="126"/>
      <c r="H699" s="129"/>
      <c r="I699" s="126"/>
      <c r="J699" s="129"/>
      <c r="K699" s="129"/>
      <c r="L699" s="309"/>
    </row>
    <row r="700" spans="1:12" ht="24" hidden="1" x14ac:dyDescent="0.25">
      <c r="A700" s="127">
        <v>7</v>
      </c>
      <c r="B700" s="127">
        <v>2</v>
      </c>
      <c r="C700" s="127">
        <v>1</v>
      </c>
      <c r="D700" s="127"/>
      <c r="E700" s="127"/>
      <c r="F700" s="128" t="s">
        <v>558</v>
      </c>
      <c r="G700" s="128"/>
      <c r="H700" s="129"/>
      <c r="I700" s="128"/>
      <c r="J700" s="129"/>
      <c r="K700" s="129"/>
      <c r="L700" s="309"/>
    </row>
    <row r="701" spans="1:12" ht="24" hidden="1" x14ac:dyDescent="0.25">
      <c r="A701" s="127">
        <v>7</v>
      </c>
      <c r="B701" s="127">
        <v>2</v>
      </c>
      <c r="C701" s="127">
        <v>2</v>
      </c>
      <c r="D701" s="127"/>
      <c r="E701" s="127"/>
      <c r="F701" s="128" t="s">
        <v>559</v>
      </c>
      <c r="G701" s="128"/>
      <c r="H701" s="129"/>
      <c r="I701" s="128"/>
      <c r="J701" s="129"/>
      <c r="K701" s="129"/>
      <c r="L701" s="309"/>
    </row>
    <row r="702" spans="1:12" ht="24" hidden="1" x14ac:dyDescent="0.25">
      <c r="A702" s="127">
        <v>7</v>
      </c>
      <c r="B702" s="127">
        <v>2</v>
      </c>
      <c r="C702" s="127">
        <v>3</v>
      </c>
      <c r="D702" s="127"/>
      <c r="E702" s="127"/>
      <c r="F702" s="128" t="s">
        <v>560</v>
      </c>
      <c r="G702" s="128"/>
      <c r="H702" s="129"/>
      <c r="I702" s="128"/>
      <c r="J702" s="129"/>
      <c r="K702" s="129"/>
      <c r="L702" s="309"/>
    </row>
    <row r="703" spans="1:12" ht="24" hidden="1" x14ac:dyDescent="0.25">
      <c r="A703" s="127">
        <v>7</v>
      </c>
      <c r="B703" s="127">
        <v>2</v>
      </c>
      <c r="C703" s="127">
        <v>4</v>
      </c>
      <c r="D703" s="127"/>
      <c r="E703" s="127"/>
      <c r="F703" s="128" t="s">
        <v>561</v>
      </c>
      <c r="G703" s="128"/>
      <c r="H703" s="129"/>
      <c r="I703" s="128"/>
      <c r="J703" s="129"/>
      <c r="K703" s="129"/>
      <c r="L703" s="309"/>
    </row>
    <row r="704" spans="1:12" ht="24" hidden="1" x14ac:dyDescent="0.25">
      <c r="A704" s="127">
        <v>7</v>
      </c>
      <c r="B704" s="127">
        <v>2</v>
      </c>
      <c r="C704" s="127">
        <v>5</v>
      </c>
      <c r="D704" s="127"/>
      <c r="E704" s="127"/>
      <c r="F704" s="128" t="s">
        <v>562</v>
      </c>
      <c r="G704" s="128"/>
      <c r="H704" s="129"/>
      <c r="I704" s="128"/>
      <c r="J704" s="129"/>
      <c r="K704" s="129"/>
      <c r="L704" s="309"/>
    </row>
    <row r="705" spans="1:12" ht="24" hidden="1" x14ac:dyDescent="0.25">
      <c r="A705" s="127">
        <v>7</v>
      </c>
      <c r="B705" s="127">
        <v>2</v>
      </c>
      <c r="C705" s="127">
        <v>6</v>
      </c>
      <c r="D705" s="127"/>
      <c r="E705" s="127"/>
      <c r="F705" s="128" t="s">
        <v>563</v>
      </c>
      <c r="G705" s="128"/>
      <c r="H705" s="129"/>
      <c r="I705" s="128"/>
      <c r="J705" s="129"/>
      <c r="K705" s="129"/>
      <c r="L705" s="309"/>
    </row>
    <row r="706" spans="1:12" hidden="1" x14ac:dyDescent="0.25">
      <c r="A706" s="126">
        <v>7</v>
      </c>
      <c r="B706" s="126">
        <v>3</v>
      </c>
      <c r="C706" s="126"/>
      <c r="D706" s="126"/>
      <c r="E706" s="126"/>
      <c r="F706" s="126" t="s">
        <v>564</v>
      </c>
      <c r="G706" s="126"/>
      <c r="H706" s="129"/>
      <c r="I706" s="126"/>
      <c r="J706" s="129"/>
      <c r="K706" s="129"/>
      <c r="L706" s="309"/>
    </row>
    <row r="707" spans="1:12" hidden="1" x14ac:dyDescent="0.25">
      <c r="A707" s="127">
        <v>7</v>
      </c>
      <c r="B707" s="127">
        <v>3</v>
      </c>
      <c r="C707" s="127">
        <v>1</v>
      </c>
      <c r="D707" s="127"/>
      <c r="E707" s="127"/>
      <c r="F707" s="128" t="s">
        <v>565</v>
      </c>
      <c r="G707" s="128"/>
      <c r="H707" s="129"/>
      <c r="I707" s="128"/>
      <c r="J707" s="129"/>
      <c r="K707" s="129"/>
      <c r="L707" s="309"/>
    </row>
    <row r="708" spans="1:12" hidden="1" x14ac:dyDescent="0.25">
      <c r="A708" s="127">
        <v>7</v>
      </c>
      <c r="B708" s="127">
        <v>3</v>
      </c>
      <c r="C708" s="127">
        <v>2</v>
      </c>
      <c r="D708" s="127"/>
      <c r="E708" s="127"/>
      <c r="F708" s="128" t="s">
        <v>566</v>
      </c>
      <c r="G708" s="128"/>
      <c r="H708" s="129"/>
      <c r="I708" s="128"/>
      <c r="J708" s="129"/>
      <c r="K708" s="129"/>
      <c r="L708" s="309"/>
    </row>
    <row r="709" spans="1:12" hidden="1" x14ac:dyDescent="0.25">
      <c r="A709" s="127">
        <v>7</v>
      </c>
      <c r="B709" s="127">
        <v>3</v>
      </c>
      <c r="C709" s="127">
        <v>3</v>
      </c>
      <c r="D709" s="127"/>
      <c r="E709" s="127"/>
      <c r="F709" s="128" t="s">
        <v>567</v>
      </c>
      <c r="G709" s="128"/>
      <c r="H709" s="129"/>
      <c r="I709" s="128"/>
      <c r="J709" s="129"/>
      <c r="K709" s="129"/>
      <c r="L709" s="309"/>
    </row>
    <row r="710" spans="1:12" hidden="1" x14ac:dyDescent="0.25">
      <c r="A710" s="127">
        <v>7</v>
      </c>
      <c r="B710" s="127">
        <v>3</v>
      </c>
      <c r="C710" s="127">
        <v>4</v>
      </c>
      <c r="D710" s="127"/>
      <c r="E710" s="127"/>
      <c r="F710" s="128" t="s">
        <v>568</v>
      </c>
      <c r="G710" s="128"/>
      <c r="H710" s="129"/>
      <c r="I710" s="128"/>
      <c r="J710" s="129"/>
      <c r="K710" s="129"/>
      <c r="L710" s="309"/>
    </row>
    <row r="711" spans="1:12" ht="24" hidden="1" x14ac:dyDescent="0.25">
      <c r="A711" s="127">
        <v>7</v>
      </c>
      <c r="B711" s="127">
        <v>3</v>
      </c>
      <c r="C711" s="127">
        <v>5</v>
      </c>
      <c r="D711" s="127"/>
      <c r="E711" s="127"/>
      <c r="F711" s="128" t="s">
        <v>569</v>
      </c>
      <c r="G711" s="128"/>
      <c r="H711" s="129"/>
      <c r="I711" s="128"/>
      <c r="J711" s="129"/>
      <c r="K711" s="129"/>
      <c r="L711" s="309"/>
    </row>
    <row r="712" spans="1:12" ht="24" hidden="1" x14ac:dyDescent="0.25">
      <c r="A712" s="127">
        <v>7</v>
      </c>
      <c r="B712" s="127">
        <v>3</v>
      </c>
      <c r="C712" s="127">
        <v>6</v>
      </c>
      <c r="D712" s="127"/>
      <c r="E712" s="127"/>
      <c r="F712" s="128" t="s">
        <v>570</v>
      </c>
      <c r="G712" s="128"/>
      <c r="H712" s="129"/>
      <c r="I712" s="128"/>
      <c r="J712" s="129"/>
      <c r="K712" s="129"/>
      <c r="L712" s="309"/>
    </row>
    <row r="713" spans="1:12" hidden="1" x14ac:dyDescent="0.25">
      <c r="A713" s="126">
        <v>7</v>
      </c>
      <c r="B713" s="126">
        <v>4</v>
      </c>
      <c r="C713" s="126"/>
      <c r="D713" s="126"/>
      <c r="E713" s="126"/>
      <c r="F713" s="126" t="s">
        <v>571</v>
      </c>
      <c r="G713" s="126"/>
      <c r="H713" s="129"/>
      <c r="I713" s="126"/>
      <c r="J713" s="129"/>
      <c r="K713" s="129"/>
      <c r="L713" s="309"/>
    </row>
    <row r="714" spans="1:12" hidden="1" x14ac:dyDescent="0.25">
      <c r="A714" s="127">
        <v>7</v>
      </c>
      <c r="B714" s="127">
        <v>4</v>
      </c>
      <c r="C714" s="127">
        <v>1</v>
      </c>
      <c r="D714" s="127"/>
      <c r="E714" s="127"/>
      <c r="F714" s="128" t="s">
        <v>572</v>
      </c>
      <c r="G714" s="128"/>
      <c r="H714" s="129"/>
      <c r="I714" s="128"/>
      <c r="J714" s="129"/>
      <c r="K714" s="129"/>
      <c r="L714" s="309"/>
    </row>
    <row r="715" spans="1:12" hidden="1" x14ac:dyDescent="0.25">
      <c r="A715" s="127">
        <v>7</v>
      </c>
      <c r="B715" s="127">
        <v>4</v>
      </c>
      <c r="C715" s="127">
        <v>2</v>
      </c>
      <c r="D715" s="127"/>
      <c r="E715" s="127"/>
      <c r="F715" s="128" t="s">
        <v>573</v>
      </c>
      <c r="G715" s="128"/>
      <c r="H715" s="129"/>
      <c r="I715" s="128"/>
      <c r="J715" s="129"/>
      <c r="K715" s="129"/>
      <c r="L715" s="309"/>
    </row>
    <row r="716" spans="1:12" ht="24" hidden="1" x14ac:dyDescent="0.25">
      <c r="A716" s="126">
        <v>7</v>
      </c>
      <c r="B716" s="126">
        <v>5</v>
      </c>
      <c r="C716" s="126"/>
      <c r="D716" s="126"/>
      <c r="E716" s="126"/>
      <c r="F716" s="126" t="s">
        <v>574</v>
      </c>
      <c r="G716" s="126"/>
      <c r="H716" s="129"/>
      <c r="I716" s="126"/>
      <c r="J716" s="129"/>
      <c r="K716" s="129"/>
      <c r="L716" s="309"/>
    </row>
    <row r="717" spans="1:12" ht="24" hidden="1" x14ac:dyDescent="0.25">
      <c r="A717" s="127">
        <v>7</v>
      </c>
      <c r="B717" s="127">
        <v>5</v>
      </c>
      <c r="C717" s="127">
        <v>1</v>
      </c>
      <c r="D717" s="127"/>
      <c r="E717" s="127"/>
      <c r="F717" s="128" t="s">
        <v>575</v>
      </c>
      <c r="G717" s="128"/>
      <c r="H717" s="129"/>
      <c r="I717" s="128"/>
      <c r="J717" s="129"/>
      <c r="K717" s="129"/>
      <c r="L717" s="309"/>
    </row>
    <row r="718" spans="1:12" ht="24" hidden="1" x14ac:dyDescent="0.25">
      <c r="A718" s="127">
        <v>7</v>
      </c>
      <c r="B718" s="127">
        <v>5</v>
      </c>
      <c r="C718" s="127">
        <v>2</v>
      </c>
      <c r="D718" s="127"/>
      <c r="E718" s="127"/>
      <c r="F718" s="128" t="s">
        <v>576</v>
      </c>
      <c r="G718" s="128"/>
      <c r="H718" s="129"/>
      <c r="I718" s="128"/>
      <c r="J718" s="129"/>
      <c r="K718" s="129"/>
      <c r="L718" s="309"/>
    </row>
    <row r="719" spans="1:12" hidden="1" x14ac:dyDescent="0.25">
      <c r="A719" s="126">
        <v>7</v>
      </c>
      <c r="B719" s="126">
        <v>6</v>
      </c>
      <c r="C719" s="126"/>
      <c r="D719" s="126"/>
      <c r="E719" s="126"/>
      <c r="F719" s="126" t="s">
        <v>577</v>
      </c>
      <c r="G719" s="126"/>
      <c r="H719" s="129"/>
      <c r="I719" s="126"/>
      <c r="J719" s="129"/>
      <c r="K719" s="129"/>
      <c r="L719" s="309"/>
    </row>
    <row r="720" spans="1:12" hidden="1" x14ac:dyDescent="0.25">
      <c r="A720" s="127">
        <v>7</v>
      </c>
      <c r="B720" s="127">
        <v>6</v>
      </c>
      <c r="C720" s="127">
        <v>1</v>
      </c>
      <c r="D720" s="127"/>
      <c r="E720" s="127"/>
      <c r="F720" s="128" t="s">
        <v>578</v>
      </c>
      <c r="G720" s="128"/>
      <c r="H720" s="129"/>
      <c r="I720" s="128"/>
      <c r="J720" s="129"/>
      <c r="K720" s="129"/>
      <c r="L720" s="309"/>
    </row>
    <row r="721" spans="1:12" hidden="1" x14ac:dyDescent="0.25">
      <c r="A721" s="127">
        <v>7</v>
      </c>
      <c r="B721" s="127">
        <v>6</v>
      </c>
      <c r="C721" s="127">
        <v>2</v>
      </c>
      <c r="D721" s="127"/>
      <c r="E721" s="127"/>
      <c r="F721" s="128" t="s">
        <v>579</v>
      </c>
      <c r="G721" s="128"/>
      <c r="H721" s="129"/>
      <c r="I721" s="128"/>
      <c r="J721" s="129"/>
      <c r="K721" s="129"/>
      <c r="L721" s="309"/>
    </row>
    <row r="722" spans="1:12" hidden="1" x14ac:dyDescent="0.25">
      <c r="A722" s="127">
        <v>7</v>
      </c>
      <c r="B722" s="127">
        <v>6</v>
      </c>
      <c r="C722" s="127">
        <v>3</v>
      </c>
      <c r="D722" s="127"/>
      <c r="E722" s="127"/>
      <c r="F722" s="128" t="s">
        <v>580</v>
      </c>
      <c r="G722" s="128"/>
      <c r="H722" s="129"/>
      <c r="I722" s="128"/>
      <c r="J722" s="129"/>
      <c r="K722" s="129"/>
      <c r="L722" s="309"/>
    </row>
    <row r="723" spans="1:12" x14ac:dyDescent="0.25">
      <c r="A723" s="127">
        <v>7</v>
      </c>
      <c r="B723" s="127">
        <v>6</v>
      </c>
      <c r="C723" s="127">
        <v>4</v>
      </c>
      <c r="D723" s="127"/>
      <c r="E723" s="127"/>
      <c r="F723" s="128" t="s">
        <v>581</v>
      </c>
      <c r="G723" s="128"/>
      <c r="H723" s="129"/>
      <c r="I723" s="128"/>
      <c r="J723" s="129"/>
      <c r="K723" s="129"/>
      <c r="L723" s="309"/>
    </row>
    <row r="724" spans="1:12" x14ac:dyDescent="0.25">
      <c r="A724" s="125">
        <v>8</v>
      </c>
      <c r="B724" s="125"/>
      <c r="C724" s="125"/>
      <c r="D724" s="125"/>
      <c r="E724" s="125"/>
      <c r="F724" s="125" t="s">
        <v>582</v>
      </c>
      <c r="G724" s="125"/>
      <c r="H724" s="129"/>
      <c r="I724" s="125"/>
      <c r="J724" s="129"/>
      <c r="K724" s="129"/>
      <c r="L724" s="309"/>
    </row>
    <row r="725" spans="1:12" x14ac:dyDescent="0.25">
      <c r="A725" s="126">
        <v>8</v>
      </c>
      <c r="B725" s="126">
        <v>1</v>
      </c>
      <c r="C725" s="126"/>
      <c r="D725" s="126"/>
      <c r="E725" s="126"/>
      <c r="F725" s="126" t="s">
        <v>583</v>
      </c>
      <c r="G725" s="126"/>
      <c r="H725" s="129"/>
      <c r="I725" s="126"/>
      <c r="J725" s="129"/>
      <c r="K725" s="129"/>
      <c r="L725" s="309"/>
    </row>
    <row r="726" spans="1:12" x14ac:dyDescent="0.25">
      <c r="A726" s="127">
        <v>8</v>
      </c>
      <c r="B726" s="127">
        <v>1</v>
      </c>
      <c r="C726" s="127">
        <v>1</v>
      </c>
      <c r="D726" s="127"/>
      <c r="E726" s="127"/>
      <c r="F726" s="127" t="s">
        <v>584</v>
      </c>
      <c r="G726" s="127"/>
      <c r="H726" s="129"/>
      <c r="I726" s="127"/>
      <c r="J726" s="129"/>
      <c r="K726" s="129"/>
      <c r="L726" s="309"/>
    </row>
    <row r="727" spans="1:12" x14ac:dyDescent="0.25">
      <c r="A727" s="127">
        <v>8</v>
      </c>
      <c r="B727" s="127">
        <v>1</v>
      </c>
      <c r="C727" s="127">
        <v>2</v>
      </c>
      <c r="D727" s="127"/>
      <c r="E727" s="127"/>
      <c r="F727" s="127" t="s">
        <v>585</v>
      </c>
      <c r="G727" s="127"/>
      <c r="H727" s="129"/>
      <c r="I727" s="127"/>
      <c r="J727" s="129"/>
      <c r="K727" s="129"/>
      <c r="L727" s="309"/>
    </row>
    <row r="728" spans="1:12" x14ac:dyDescent="0.25">
      <c r="A728" s="127">
        <v>8</v>
      </c>
      <c r="B728" s="127">
        <v>1</v>
      </c>
      <c r="C728" s="127">
        <v>3</v>
      </c>
      <c r="D728" s="127"/>
      <c r="E728" s="127"/>
      <c r="F728" s="127" t="s">
        <v>586</v>
      </c>
      <c r="G728" s="127"/>
      <c r="H728" s="129"/>
      <c r="I728" s="127"/>
      <c r="J728" s="129"/>
      <c r="K728" s="129"/>
      <c r="L728" s="309"/>
    </row>
    <row r="729" spans="1:12" x14ac:dyDescent="0.25">
      <c r="A729" s="127">
        <v>8</v>
      </c>
      <c r="B729" s="127">
        <v>1</v>
      </c>
      <c r="C729" s="127">
        <v>4</v>
      </c>
      <c r="D729" s="127"/>
      <c r="E729" s="127"/>
      <c r="F729" s="127" t="s">
        <v>587</v>
      </c>
      <c r="G729" s="127"/>
      <c r="H729" s="129"/>
      <c r="I729" s="127"/>
      <c r="J729" s="129"/>
      <c r="K729" s="129"/>
      <c r="L729" s="309"/>
    </row>
    <row r="730" spans="1:12" x14ac:dyDescent="0.25">
      <c r="A730" s="127">
        <v>8</v>
      </c>
      <c r="B730" s="127">
        <v>1</v>
      </c>
      <c r="C730" s="127">
        <v>5</v>
      </c>
      <c r="D730" s="127"/>
      <c r="E730" s="127"/>
      <c r="F730" s="127" t="s">
        <v>588</v>
      </c>
      <c r="G730" s="127"/>
      <c r="H730" s="129"/>
      <c r="I730" s="127"/>
      <c r="J730" s="129"/>
      <c r="K730" s="129"/>
      <c r="L730" s="309"/>
    </row>
    <row r="731" spans="1:12" x14ac:dyDescent="0.25">
      <c r="A731" s="126">
        <v>8</v>
      </c>
      <c r="B731" s="126">
        <v>2</v>
      </c>
      <c r="C731" s="126"/>
      <c r="D731" s="126"/>
      <c r="E731" s="126"/>
      <c r="F731" s="126" t="s">
        <v>589</v>
      </c>
      <c r="G731" s="126"/>
      <c r="H731" s="129"/>
      <c r="I731" s="126"/>
      <c r="J731" s="129"/>
      <c r="K731" s="129"/>
      <c r="L731" s="309"/>
    </row>
    <row r="732" spans="1:12" x14ac:dyDescent="0.25">
      <c r="A732" s="127">
        <v>8</v>
      </c>
      <c r="B732" s="127">
        <v>2</v>
      </c>
      <c r="C732" s="127">
        <v>1</v>
      </c>
      <c r="D732" s="127"/>
      <c r="E732" s="127"/>
      <c r="F732" s="127" t="s">
        <v>590</v>
      </c>
      <c r="G732" s="127"/>
      <c r="H732" s="129"/>
      <c r="I732" s="127"/>
      <c r="J732" s="129"/>
      <c r="K732" s="129"/>
      <c r="L732" s="309"/>
    </row>
    <row r="733" spans="1:12" x14ac:dyDescent="0.25">
      <c r="A733" s="127">
        <v>8</v>
      </c>
      <c r="B733" s="127">
        <v>2</v>
      </c>
      <c r="C733" s="127">
        <v>2</v>
      </c>
      <c r="D733" s="127"/>
      <c r="E733" s="127"/>
      <c r="F733" s="127" t="s">
        <v>591</v>
      </c>
      <c r="G733" s="127"/>
      <c r="H733" s="129"/>
      <c r="I733" s="127"/>
      <c r="J733" s="129"/>
      <c r="K733" s="129"/>
      <c r="L733" s="309"/>
    </row>
    <row r="734" spans="1:12" x14ac:dyDescent="0.25">
      <c r="A734" s="127">
        <v>8</v>
      </c>
      <c r="B734" s="127">
        <v>2</v>
      </c>
      <c r="C734" s="127">
        <v>3</v>
      </c>
      <c r="D734" s="127"/>
      <c r="E734" s="127"/>
      <c r="F734" s="127" t="s">
        <v>592</v>
      </c>
      <c r="G734" s="127"/>
      <c r="H734" s="129"/>
      <c r="I734" s="127"/>
      <c r="J734" s="129"/>
      <c r="K734" s="129"/>
      <c r="L734" s="309"/>
    </row>
    <row r="735" spans="1:12" x14ac:dyDescent="0.25">
      <c r="A735" s="127">
        <v>8</v>
      </c>
      <c r="B735" s="127">
        <v>2</v>
      </c>
      <c r="C735" s="127">
        <v>4</v>
      </c>
      <c r="D735" s="127"/>
      <c r="E735" s="127"/>
      <c r="F735" s="127" t="s">
        <v>593</v>
      </c>
      <c r="G735" s="127"/>
      <c r="H735" s="129"/>
      <c r="I735" s="127"/>
      <c r="J735" s="129"/>
      <c r="K735" s="129"/>
      <c r="L735" s="309"/>
    </row>
    <row r="736" spans="1:12" x14ac:dyDescent="0.25">
      <c r="A736" s="127">
        <v>8</v>
      </c>
      <c r="B736" s="127">
        <v>2</v>
      </c>
      <c r="C736" s="127">
        <v>5</v>
      </c>
      <c r="D736" s="127"/>
      <c r="E736" s="127"/>
      <c r="F736" s="127" t="s">
        <v>594</v>
      </c>
      <c r="G736" s="127"/>
      <c r="H736" s="129"/>
      <c r="I736" s="127"/>
      <c r="J736" s="129"/>
      <c r="K736" s="129"/>
      <c r="L736" s="309"/>
    </row>
    <row r="737" spans="1:12" x14ac:dyDescent="0.25">
      <c r="A737" s="127">
        <v>8</v>
      </c>
      <c r="B737" s="127">
        <v>2</v>
      </c>
      <c r="C737" s="127">
        <v>6</v>
      </c>
      <c r="D737" s="127"/>
      <c r="E737" s="127"/>
      <c r="F737" s="127" t="s">
        <v>595</v>
      </c>
      <c r="G737" s="127"/>
      <c r="H737" s="129"/>
      <c r="I737" s="127"/>
      <c r="J737" s="129"/>
      <c r="K737" s="129"/>
      <c r="L737" s="309"/>
    </row>
    <row r="738" spans="1:12" x14ac:dyDescent="0.25">
      <c r="A738" s="127">
        <v>8</v>
      </c>
      <c r="B738" s="127">
        <v>2</v>
      </c>
      <c r="C738" s="127">
        <v>7</v>
      </c>
      <c r="D738" s="127"/>
      <c r="E738" s="127"/>
      <c r="F738" s="127" t="s">
        <v>596</v>
      </c>
      <c r="G738" s="127"/>
      <c r="H738" s="129"/>
      <c r="I738" s="127"/>
      <c r="J738" s="129"/>
      <c r="K738" s="129"/>
      <c r="L738" s="309"/>
    </row>
    <row r="739" spans="1:12" x14ac:dyDescent="0.25">
      <c r="A739" s="125">
        <v>9</v>
      </c>
      <c r="B739" s="125"/>
      <c r="C739" s="125"/>
      <c r="D739" s="125"/>
      <c r="E739" s="125"/>
      <c r="F739" s="125" t="s">
        <v>597</v>
      </c>
      <c r="G739" s="125"/>
      <c r="H739" s="129"/>
      <c r="I739" s="125"/>
      <c r="J739" s="129"/>
      <c r="K739" s="129"/>
      <c r="L739" s="309"/>
    </row>
    <row r="740" spans="1:12" x14ac:dyDescent="0.25">
      <c r="A740" s="126">
        <v>9</v>
      </c>
      <c r="B740" s="126">
        <v>1</v>
      </c>
      <c r="C740" s="126"/>
      <c r="D740" s="126"/>
      <c r="E740" s="126"/>
      <c r="F740" s="126" t="s">
        <v>598</v>
      </c>
      <c r="G740" s="126"/>
      <c r="H740" s="129"/>
      <c r="I740" s="126"/>
      <c r="J740" s="129"/>
      <c r="K740" s="129"/>
      <c r="L740" s="309"/>
    </row>
    <row r="741" spans="1:12" x14ac:dyDescent="0.25">
      <c r="A741" s="126">
        <v>9</v>
      </c>
      <c r="B741" s="126">
        <v>2</v>
      </c>
      <c r="C741" s="126"/>
      <c r="D741" s="126"/>
      <c r="E741" s="126"/>
      <c r="F741" s="126" t="s">
        <v>599</v>
      </c>
      <c r="G741" s="126"/>
      <c r="H741" s="129"/>
      <c r="I741" s="126"/>
      <c r="J741" s="129"/>
      <c r="K741" s="129"/>
      <c r="L741" s="309"/>
    </row>
    <row r="742" spans="1:12" x14ac:dyDescent="0.25">
      <c r="A742" s="345">
        <v>9</v>
      </c>
      <c r="B742" s="345">
        <v>3</v>
      </c>
      <c r="C742" s="345"/>
      <c r="D742" s="345"/>
      <c r="E742" s="345"/>
      <c r="F742" s="345" t="s">
        <v>600</v>
      </c>
      <c r="G742" s="345"/>
      <c r="H742" s="129"/>
      <c r="I742" s="345"/>
      <c r="J742" s="129"/>
      <c r="K742" s="129"/>
      <c r="L742" s="309"/>
    </row>
    <row r="743" spans="1:12" x14ac:dyDescent="0.25">
      <c r="A743" s="309"/>
      <c r="B743" s="309"/>
      <c r="C743" s="309"/>
      <c r="D743" s="309"/>
      <c r="E743" s="309"/>
      <c r="F743" s="309"/>
      <c r="G743" s="309"/>
      <c r="H743" s="309"/>
      <c r="I743" s="309"/>
      <c r="J743" s="309"/>
      <c r="K743" s="309"/>
      <c r="L743" s="309"/>
    </row>
    <row r="744" spans="1:12" x14ac:dyDescent="0.25">
      <c r="A744" s="309"/>
      <c r="B744" s="309"/>
      <c r="C744" s="309"/>
      <c r="D744" s="309"/>
      <c r="E744" s="309"/>
      <c r="F744" s="309"/>
      <c r="G744" s="309"/>
      <c r="H744" s="309"/>
      <c r="I744" s="309"/>
      <c r="J744" s="309"/>
      <c r="K744" s="309"/>
      <c r="L744" s="309"/>
    </row>
    <row r="745" spans="1:12" x14ac:dyDescent="0.25">
      <c r="A745" s="344">
        <v>1</v>
      </c>
      <c r="B745" s="344" t="s">
        <v>601</v>
      </c>
      <c r="C745" s="344" t="s">
        <v>602</v>
      </c>
      <c r="D745" s="344" t="s">
        <v>603</v>
      </c>
      <c r="E745" s="344"/>
      <c r="F745" s="309"/>
      <c r="G745" s="309"/>
      <c r="H745" s="309"/>
      <c r="I745" s="309"/>
      <c r="J745" s="309"/>
      <c r="K745" s="309"/>
      <c r="L745" s="309"/>
    </row>
  </sheetData>
  <mergeCells count="1">
    <mergeCell ref="G1:J1"/>
  </mergeCells>
  <hyperlinks>
    <hyperlink ref="A691" location="_ftn1" display="_ftn1"/>
    <hyperlink ref="A745" location="_ftnref1" display="_ftnref1"/>
  </hyperlinks>
  <pageMargins left="0" right="0" top="0" bottom="0" header="0" footer="0"/>
  <pageSetup scale="8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483" customWidth="1"/>
    <col min="2" max="2" width="15.7109375" style="483" customWidth="1"/>
    <col min="3" max="3" width="10.7109375" style="483" customWidth="1"/>
    <col min="4" max="19" width="13.7109375" style="483" customWidth="1"/>
    <col min="20" max="16384" width="11.42578125" style="483"/>
  </cols>
  <sheetData>
    <row r="1" spans="1:19" ht="20.100000000000001" customHeight="1" x14ac:dyDescent="0.25">
      <c r="A1" s="480"/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2"/>
    </row>
    <row r="2" spans="1:19" ht="20.100000000000001" customHeight="1" x14ac:dyDescent="0.25">
      <c r="A2" s="484"/>
      <c r="B2" s="485"/>
      <c r="C2" s="485"/>
      <c r="D2" s="485"/>
      <c r="E2" s="485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7"/>
    </row>
    <row r="3" spans="1:19" ht="20.100000000000001" customHeight="1" x14ac:dyDescent="0.25">
      <c r="A3" s="484"/>
      <c r="B3" s="486"/>
      <c r="C3" s="486"/>
      <c r="D3" s="485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708"/>
      <c r="S3" s="709"/>
    </row>
    <row r="4" spans="1:19" ht="20.100000000000001" customHeight="1" x14ac:dyDescent="0.25">
      <c r="A4" s="488"/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90"/>
    </row>
    <row r="5" spans="1:19" ht="20.100000000000001" customHeight="1" x14ac:dyDescent="0.25">
      <c r="R5" s="486"/>
      <c r="S5" s="487"/>
    </row>
    <row r="6" spans="1:19" ht="20.100000000000001" customHeight="1" x14ac:dyDescent="0.25">
      <c r="A6" s="491" t="s">
        <v>1142</v>
      </c>
      <c r="B6" s="492"/>
      <c r="C6" s="710" t="s">
        <v>1143</v>
      </c>
      <c r="D6" s="711"/>
      <c r="E6" s="711"/>
      <c r="F6" s="711"/>
      <c r="G6" s="711"/>
      <c r="H6" s="711"/>
      <c r="I6" s="711"/>
      <c r="J6" s="711"/>
      <c r="K6" s="711"/>
      <c r="L6" s="711"/>
      <c r="M6" s="711"/>
      <c r="N6" s="711"/>
      <c r="O6" s="711"/>
      <c r="P6" s="711"/>
      <c r="Q6" s="711"/>
      <c r="R6" s="711"/>
      <c r="S6" s="712"/>
    </row>
    <row r="7" spans="1:19" ht="20.100000000000001" customHeight="1" x14ac:dyDescent="0.25">
      <c r="A7" s="491" t="s">
        <v>1144</v>
      </c>
      <c r="B7" s="492"/>
      <c r="C7" s="491" t="s">
        <v>1145</v>
      </c>
      <c r="D7" s="493"/>
      <c r="E7" s="493"/>
      <c r="F7" s="493"/>
      <c r="G7" s="493"/>
      <c r="H7" s="493"/>
      <c r="I7" s="493"/>
      <c r="J7" s="493"/>
      <c r="K7" s="493"/>
      <c r="L7" s="493"/>
      <c r="M7" s="493"/>
      <c r="N7" s="493"/>
      <c r="O7" s="493"/>
      <c r="P7" s="493"/>
      <c r="Q7" s="493"/>
      <c r="R7" s="493"/>
      <c r="S7" s="492"/>
    </row>
    <row r="8" spans="1:19" ht="20.100000000000001" customHeight="1" x14ac:dyDescent="0.25">
      <c r="A8" s="491" t="s">
        <v>1146</v>
      </c>
      <c r="B8" s="492"/>
      <c r="C8" s="491" t="s">
        <v>1147</v>
      </c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3"/>
      <c r="Q8" s="493"/>
      <c r="R8" s="493"/>
      <c r="S8" s="492"/>
    </row>
    <row r="9" spans="1:19" ht="20.100000000000001" customHeight="1" x14ac:dyDescent="0.25">
      <c r="A9" s="491" t="s">
        <v>1148</v>
      </c>
      <c r="B9" s="492"/>
      <c r="C9" s="491" t="s">
        <v>1149</v>
      </c>
      <c r="D9" s="493"/>
      <c r="E9" s="493"/>
      <c r="F9" s="493"/>
      <c r="G9" s="493"/>
      <c r="H9" s="493"/>
      <c r="I9" s="493"/>
      <c r="J9" s="493"/>
      <c r="K9" s="493"/>
      <c r="L9" s="493"/>
      <c r="M9" s="493"/>
      <c r="N9" s="493"/>
      <c r="O9" s="493"/>
      <c r="P9" s="493"/>
      <c r="Q9" s="493"/>
      <c r="R9" s="493"/>
      <c r="S9" s="492"/>
    </row>
    <row r="10" spans="1:19" ht="9.9499999999999993" customHeight="1" x14ac:dyDescent="0.25">
      <c r="A10" s="494"/>
      <c r="B10" s="494"/>
      <c r="C10" s="494"/>
      <c r="D10" s="494"/>
      <c r="E10" s="494"/>
      <c r="F10" s="494"/>
      <c r="G10" s="494"/>
      <c r="H10" s="494"/>
      <c r="I10" s="494"/>
      <c r="J10" s="494"/>
      <c r="K10" s="494"/>
      <c r="L10" s="494"/>
      <c r="M10" s="494"/>
      <c r="N10" s="494"/>
      <c r="O10" s="494"/>
      <c r="P10" s="494"/>
      <c r="Q10" s="494"/>
      <c r="R10" s="495"/>
      <c r="S10" s="496"/>
    </row>
    <row r="11" spans="1:19" ht="20.100000000000001" customHeight="1" x14ac:dyDescent="0.25">
      <c r="A11" s="713" t="s">
        <v>1150</v>
      </c>
      <c r="B11" s="714" t="s">
        <v>1151</v>
      </c>
      <c r="C11" s="715"/>
      <c r="D11" s="718" t="s">
        <v>1152</v>
      </c>
      <c r="E11" s="699" t="s">
        <v>1153</v>
      </c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</row>
    <row r="12" spans="1:19" ht="20.100000000000001" customHeight="1" x14ac:dyDescent="0.25">
      <c r="A12" s="713"/>
      <c r="B12" s="716"/>
      <c r="C12" s="717"/>
      <c r="D12" s="719"/>
      <c r="E12" s="497" t="s">
        <v>1154</v>
      </c>
      <c r="F12" s="497" t="s">
        <v>1155</v>
      </c>
      <c r="G12" s="497" t="s">
        <v>1156</v>
      </c>
      <c r="H12" s="497" t="s">
        <v>1157</v>
      </c>
      <c r="I12" s="497" t="s">
        <v>1158</v>
      </c>
      <c r="J12" s="497" t="s">
        <v>1159</v>
      </c>
      <c r="K12" s="497" t="s">
        <v>1160</v>
      </c>
      <c r="L12" s="497" t="s">
        <v>1161</v>
      </c>
      <c r="M12" s="497" t="s">
        <v>1162</v>
      </c>
      <c r="N12" s="497" t="s">
        <v>1163</v>
      </c>
      <c r="O12" s="497"/>
      <c r="P12" s="497" t="s">
        <v>1162</v>
      </c>
      <c r="Q12" s="497" t="s">
        <v>1163</v>
      </c>
      <c r="R12" s="497" t="s">
        <v>1164</v>
      </c>
      <c r="S12" s="498" t="s">
        <v>1165</v>
      </c>
    </row>
    <row r="13" spans="1:19" s="501" customFormat="1" ht="9" customHeight="1" x14ac:dyDescent="0.25">
      <c r="A13" s="499"/>
      <c r="B13" s="499"/>
      <c r="C13" s="499"/>
      <c r="D13" s="500"/>
      <c r="E13" s="499"/>
      <c r="F13" s="499"/>
      <c r="G13" s="499"/>
      <c r="H13" s="499"/>
      <c r="I13" s="499"/>
      <c r="J13" s="499"/>
      <c r="K13" s="499"/>
      <c r="L13" s="499"/>
      <c r="M13" s="499"/>
      <c r="N13" s="499"/>
      <c r="O13" s="499"/>
      <c r="P13" s="499"/>
      <c r="Q13" s="499"/>
      <c r="R13" s="499"/>
      <c r="S13" s="499"/>
    </row>
    <row r="14" spans="1:19" s="501" customFormat="1" ht="24.95" customHeight="1" x14ac:dyDescent="0.25">
      <c r="A14" s="502">
        <v>4500</v>
      </c>
      <c r="B14" s="702" t="s">
        <v>1166</v>
      </c>
      <c r="C14" s="703"/>
      <c r="D14" s="503">
        <f>SUM(E14:S14)</f>
        <v>21923082.580000002</v>
      </c>
      <c r="E14" s="504">
        <v>854862.42</v>
      </c>
      <c r="F14" s="504">
        <v>854862.42</v>
      </c>
      <c r="G14" s="504">
        <v>854862.42</v>
      </c>
      <c r="H14" s="504">
        <v>854862.42</v>
      </c>
      <c r="I14" s="504">
        <v>1055774.5</v>
      </c>
      <c r="J14" s="504">
        <v>854862.42</v>
      </c>
      <c r="K14" s="504">
        <v>854862.42</v>
      </c>
      <c r="L14" s="504">
        <v>854862.42</v>
      </c>
      <c r="M14" s="504">
        <v>854862.42</v>
      </c>
      <c r="N14" s="504">
        <v>854862.42</v>
      </c>
      <c r="O14" s="504">
        <f>SUM(E14:N14)</f>
        <v>8749536.2799999993</v>
      </c>
      <c r="P14" s="504">
        <v>854862.42</v>
      </c>
      <c r="Q14" s="504">
        <v>854862.42</v>
      </c>
      <c r="R14" s="504">
        <v>1055774.5</v>
      </c>
      <c r="S14" s="504">
        <v>1658510.68</v>
      </c>
    </row>
    <row r="15" spans="1:19" s="501" customFormat="1" ht="24.95" customHeight="1" x14ac:dyDescent="0.25">
      <c r="A15" s="505"/>
      <c r="B15" s="704"/>
      <c r="C15" s="705"/>
      <c r="D15" s="503"/>
      <c r="E15" s="504"/>
      <c r="F15" s="504"/>
      <c r="G15" s="504"/>
      <c r="H15" s="504"/>
      <c r="I15" s="504"/>
      <c r="J15" s="504"/>
      <c r="K15" s="504"/>
      <c r="L15" s="504"/>
      <c r="M15" s="504"/>
      <c r="N15" s="504"/>
      <c r="O15" s="504"/>
      <c r="P15" s="504"/>
      <c r="Q15" s="504"/>
      <c r="R15" s="504"/>
      <c r="S15" s="504"/>
    </row>
    <row r="16" spans="1:19" s="501" customFormat="1" ht="24.95" customHeight="1" x14ac:dyDescent="0.25">
      <c r="A16" s="506">
        <v>4200</v>
      </c>
      <c r="B16" s="696" t="s">
        <v>1167</v>
      </c>
      <c r="C16" s="697"/>
      <c r="D16" s="503">
        <f>SUM(E16:S16)</f>
        <v>8595600</v>
      </c>
      <c r="E16" s="504">
        <v>358150</v>
      </c>
      <c r="F16" s="504">
        <v>358150</v>
      </c>
      <c r="G16" s="504">
        <v>358150</v>
      </c>
      <c r="H16" s="504">
        <v>358150</v>
      </c>
      <c r="I16" s="504">
        <v>358150</v>
      </c>
      <c r="J16" s="504">
        <v>358150</v>
      </c>
      <c r="K16" s="504">
        <v>358150</v>
      </c>
      <c r="L16" s="504">
        <v>358150</v>
      </c>
      <c r="M16" s="504">
        <v>358150</v>
      </c>
      <c r="N16" s="504">
        <v>358150</v>
      </c>
      <c r="O16" s="504">
        <f t="shared" ref="O16:O20" si="0">SUM(E16:N16)</f>
        <v>3581500</v>
      </c>
      <c r="P16" s="504">
        <v>358150</v>
      </c>
      <c r="Q16" s="504">
        <v>358150</v>
      </c>
      <c r="R16" s="504">
        <v>358150</v>
      </c>
      <c r="S16" s="504">
        <v>358150</v>
      </c>
    </row>
    <row r="17" spans="1:19" s="501" customFormat="1" ht="24.95" customHeight="1" x14ac:dyDescent="0.25">
      <c r="A17" s="506"/>
      <c r="B17" s="696"/>
      <c r="C17" s="697"/>
      <c r="D17" s="503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504"/>
      <c r="S17" s="504"/>
    </row>
    <row r="18" spans="1:19" s="501" customFormat="1" ht="24.95" customHeight="1" x14ac:dyDescent="0.25">
      <c r="A18" s="507">
        <v>4300</v>
      </c>
      <c r="B18" s="706" t="s">
        <v>1168</v>
      </c>
      <c r="C18" s="707"/>
      <c r="D18" s="503">
        <f>SUM(E18:S18)</f>
        <v>30000</v>
      </c>
      <c r="E18" s="504">
        <v>1250</v>
      </c>
      <c r="F18" s="504">
        <v>1250</v>
      </c>
      <c r="G18" s="504">
        <v>1250</v>
      </c>
      <c r="H18" s="504">
        <v>1250</v>
      </c>
      <c r="I18" s="504">
        <v>1250</v>
      </c>
      <c r="J18" s="504">
        <v>1250</v>
      </c>
      <c r="K18" s="504">
        <v>1250</v>
      </c>
      <c r="L18" s="504">
        <v>1250</v>
      </c>
      <c r="M18" s="504">
        <v>1250</v>
      </c>
      <c r="N18" s="504">
        <v>1250</v>
      </c>
      <c r="O18" s="504">
        <f t="shared" si="0"/>
        <v>12500</v>
      </c>
      <c r="P18" s="504">
        <v>1250</v>
      </c>
      <c r="Q18" s="504">
        <v>1250</v>
      </c>
      <c r="R18" s="504">
        <v>1250</v>
      </c>
      <c r="S18" s="504">
        <v>1250</v>
      </c>
    </row>
    <row r="19" spans="1:19" s="501" customFormat="1" ht="24.95" customHeight="1" x14ac:dyDescent="0.25">
      <c r="A19" s="506"/>
      <c r="B19" s="696"/>
      <c r="C19" s="697"/>
      <c r="D19" s="503"/>
      <c r="E19" s="504"/>
      <c r="F19" s="504"/>
      <c r="G19" s="504"/>
      <c r="H19" s="504"/>
      <c r="I19" s="504"/>
      <c r="J19" s="504"/>
      <c r="K19" s="504"/>
      <c r="L19" s="504"/>
      <c r="M19" s="504"/>
      <c r="N19" s="504"/>
      <c r="O19" s="504"/>
      <c r="P19" s="504"/>
      <c r="Q19" s="504"/>
      <c r="R19" s="504"/>
      <c r="S19" s="504"/>
    </row>
    <row r="20" spans="1:19" s="501" customFormat="1" ht="24.95" customHeight="1" x14ac:dyDescent="0.25">
      <c r="A20" s="506">
        <v>4400</v>
      </c>
      <c r="B20" s="696" t="s">
        <v>1169</v>
      </c>
      <c r="C20" s="697"/>
      <c r="D20" s="503">
        <f>SUM(E20:S20)</f>
        <v>360000</v>
      </c>
      <c r="E20" s="504">
        <v>15000</v>
      </c>
      <c r="F20" s="504">
        <v>15000</v>
      </c>
      <c r="G20" s="504">
        <v>15000</v>
      </c>
      <c r="H20" s="504">
        <v>15000</v>
      </c>
      <c r="I20" s="504">
        <v>15000</v>
      </c>
      <c r="J20" s="504">
        <v>15000</v>
      </c>
      <c r="K20" s="504">
        <v>15000</v>
      </c>
      <c r="L20" s="504">
        <v>15000</v>
      </c>
      <c r="M20" s="504">
        <v>15000</v>
      </c>
      <c r="N20" s="504">
        <v>15000</v>
      </c>
      <c r="O20" s="504">
        <f t="shared" si="0"/>
        <v>150000</v>
      </c>
      <c r="P20" s="504">
        <v>15000</v>
      </c>
      <c r="Q20" s="504">
        <v>15000</v>
      </c>
      <c r="R20" s="504">
        <v>15000</v>
      </c>
      <c r="S20" s="504">
        <v>15000</v>
      </c>
    </row>
    <row r="21" spans="1:19" s="501" customFormat="1" ht="24.95" customHeight="1" x14ac:dyDescent="0.25">
      <c r="A21" s="506"/>
      <c r="B21" s="696"/>
      <c r="C21" s="697"/>
      <c r="D21" s="503"/>
      <c r="E21" s="504"/>
      <c r="F21" s="504"/>
      <c r="G21" s="504"/>
      <c r="H21" s="504"/>
      <c r="I21" s="504"/>
      <c r="J21" s="504"/>
      <c r="K21" s="504"/>
      <c r="L21" s="504"/>
      <c r="M21" s="504"/>
      <c r="N21" s="504"/>
      <c r="O21" s="504"/>
      <c r="P21" s="504"/>
      <c r="Q21" s="504"/>
      <c r="R21" s="504"/>
      <c r="S21" s="504"/>
    </row>
    <row r="22" spans="1:19" s="501" customFormat="1" ht="9.9499999999999993" customHeight="1" x14ac:dyDescent="0.25">
      <c r="A22" s="698"/>
      <c r="B22" s="698"/>
      <c r="C22" s="698"/>
      <c r="D22" s="698"/>
      <c r="E22" s="698"/>
      <c r="F22" s="698"/>
      <c r="G22" s="698"/>
      <c r="H22" s="698"/>
      <c r="I22" s="698"/>
      <c r="J22" s="698"/>
      <c r="K22" s="698"/>
      <c r="L22" s="698"/>
      <c r="M22" s="698"/>
      <c r="N22" s="698"/>
      <c r="O22" s="698"/>
      <c r="P22" s="698"/>
      <c r="Q22" s="698"/>
      <c r="R22" s="698"/>
      <c r="S22" s="698"/>
    </row>
    <row r="23" spans="1:19" s="501" customFormat="1" ht="24.95" customHeight="1" x14ac:dyDescent="0.25">
      <c r="A23" s="699" t="s">
        <v>867</v>
      </c>
      <c r="B23" s="700"/>
      <c r="C23" s="701"/>
      <c r="D23" s="508">
        <f t="shared" ref="D23:S23" si="1">SUM(D14:D21)</f>
        <v>30908682.580000002</v>
      </c>
      <c r="E23" s="508">
        <f t="shared" si="1"/>
        <v>1229262.42</v>
      </c>
      <c r="F23" s="508">
        <f t="shared" si="1"/>
        <v>1229262.42</v>
      </c>
      <c r="G23" s="508">
        <f t="shared" si="1"/>
        <v>1229262.42</v>
      </c>
      <c r="H23" s="508">
        <f t="shared" si="1"/>
        <v>1229262.42</v>
      </c>
      <c r="I23" s="508">
        <f t="shared" si="1"/>
        <v>1430174.5</v>
      </c>
      <c r="J23" s="508">
        <f t="shared" si="1"/>
        <v>1229262.42</v>
      </c>
      <c r="K23" s="508">
        <f t="shared" si="1"/>
        <v>1229262.42</v>
      </c>
      <c r="L23" s="508">
        <f t="shared" si="1"/>
        <v>1229262.42</v>
      </c>
      <c r="M23" s="508">
        <f t="shared" si="1"/>
        <v>1229262.42</v>
      </c>
      <c r="N23" s="508">
        <f t="shared" si="1"/>
        <v>1229262.42</v>
      </c>
      <c r="O23" s="508">
        <f t="shared" si="1"/>
        <v>12493536.279999999</v>
      </c>
      <c r="P23" s="508">
        <f t="shared" si="1"/>
        <v>1229262.42</v>
      </c>
      <c r="Q23" s="508">
        <f t="shared" si="1"/>
        <v>1229262.42</v>
      </c>
      <c r="R23" s="508">
        <f t="shared" si="1"/>
        <v>1430174.5</v>
      </c>
      <c r="S23" s="508">
        <f t="shared" si="1"/>
        <v>2032910.68</v>
      </c>
    </row>
    <row r="24" spans="1:19" s="501" customFormat="1" ht="20.100000000000001" customHeight="1" x14ac:dyDescent="0.25">
      <c r="A24" s="509"/>
      <c r="B24" s="509"/>
      <c r="C24" s="509"/>
      <c r="D24" s="510"/>
      <c r="E24" s="511"/>
      <c r="F24" s="511"/>
      <c r="G24" s="511"/>
      <c r="H24" s="511"/>
      <c r="I24" s="511"/>
      <c r="J24" s="511"/>
      <c r="K24" s="511"/>
      <c r="L24" s="511"/>
      <c r="M24" s="511"/>
      <c r="N24" s="511"/>
      <c r="O24" s="511"/>
      <c r="P24" s="511"/>
      <c r="Q24" s="511"/>
      <c r="R24" s="511"/>
      <c r="S24" s="511"/>
    </row>
    <row r="25" spans="1:19" s="501" customFormat="1" ht="20.100000000000001" customHeight="1" x14ac:dyDescent="0.25">
      <c r="A25" s="509"/>
      <c r="B25" s="509"/>
      <c r="C25" s="509"/>
      <c r="D25" s="512"/>
      <c r="E25" s="499"/>
      <c r="F25" s="499"/>
      <c r="G25" s="499"/>
      <c r="H25" s="499"/>
      <c r="I25" s="499"/>
      <c r="J25" s="499"/>
      <c r="K25" s="499"/>
      <c r="L25" s="499"/>
      <c r="M25" s="499"/>
      <c r="N25" s="499"/>
      <c r="O25" s="499"/>
      <c r="P25" s="499"/>
      <c r="Q25" s="499"/>
      <c r="R25" s="499"/>
      <c r="S25" s="499"/>
    </row>
    <row r="26" spans="1:19" s="501" customFormat="1" ht="20.100000000000001" customHeight="1" x14ac:dyDescent="0.25">
      <c r="A26" s="509"/>
      <c r="B26" s="509"/>
      <c r="C26" s="509"/>
      <c r="D26" s="513"/>
      <c r="E26" s="499"/>
      <c r="F26" s="499"/>
      <c r="G26" s="499"/>
      <c r="H26" s="499"/>
      <c r="I26" s="499"/>
      <c r="J26" s="499"/>
      <c r="K26" s="499"/>
      <c r="L26" s="499"/>
      <c r="M26" s="499"/>
      <c r="N26" s="499"/>
      <c r="O26" s="499"/>
      <c r="P26" s="499"/>
      <c r="Q26" s="499"/>
      <c r="R26" s="499"/>
      <c r="S26" s="499"/>
    </row>
    <row r="27" spans="1:19" s="501" customFormat="1" ht="20.100000000000001" customHeight="1" x14ac:dyDescent="0.25">
      <c r="A27" s="509"/>
      <c r="B27" s="509"/>
      <c r="C27" s="509"/>
      <c r="D27" s="513"/>
      <c r="E27" s="499"/>
      <c r="F27" s="499"/>
      <c r="G27" s="499"/>
      <c r="H27" s="499"/>
      <c r="I27" s="499"/>
      <c r="J27" s="499"/>
      <c r="K27" s="499"/>
      <c r="L27" s="499"/>
      <c r="M27" s="499"/>
      <c r="N27" s="499"/>
      <c r="O27" s="499"/>
      <c r="P27" s="499"/>
      <c r="Q27" s="499"/>
      <c r="R27" s="499"/>
      <c r="S27" s="499"/>
    </row>
    <row r="28" spans="1:19" s="501" customFormat="1" ht="20.100000000000001" customHeight="1" x14ac:dyDescent="0.25">
      <c r="A28" s="509"/>
      <c r="B28" s="509"/>
      <c r="C28" s="509"/>
      <c r="D28" s="513"/>
      <c r="E28" s="499"/>
      <c r="F28" s="499"/>
      <c r="G28" s="499"/>
      <c r="H28" s="499"/>
      <c r="I28" s="499"/>
      <c r="J28" s="499"/>
      <c r="K28" s="499"/>
      <c r="L28" s="499"/>
      <c r="M28" s="499"/>
      <c r="N28" s="499"/>
      <c r="O28" s="499"/>
      <c r="P28" s="499"/>
      <c r="Q28" s="499"/>
      <c r="R28" s="499"/>
      <c r="S28" s="499"/>
    </row>
    <row r="29" spans="1:19" s="501" customFormat="1" ht="20.100000000000001" customHeight="1" x14ac:dyDescent="0.25">
      <c r="A29" s="509"/>
      <c r="B29" s="509"/>
      <c r="C29" s="509"/>
      <c r="D29" s="513"/>
      <c r="E29" s="499"/>
      <c r="F29" s="499"/>
      <c r="G29" s="499"/>
      <c r="H29" s="499"/>
      <c r="I29" s="499"/>
      <c r="J29" s="499"/>
      <c r="K29" s="499"/>
      <c r="L29" s="499"/>
      <c r="M29" s="499"/>
      <c r="N29" s="499"/>
      <c r="O29" s="499"/>
      <c r="P29" s="499"/>
      <c r="Q29" s="499"/>
      <c r="R29" s="499"/>
      <c r="S29" s="499"/>
    </row>
    <row r="30" spans="1:19" s="501" customFormat="1" ht="20.100000000000001" customHeight="1" x14ac:dyDescent="0.25">
      <c r="A30" s="514"/>
      <c r="B30" s="514"/>
      <c r="C30" s="514"/>
      <c r="D30" s="514"/>
    </row>
    <row r="31" spans="1:19" s="501" customFormat="1" x14ac:dyDescent="0.25">
      <c r="A31" s="514"/>
      <c r="B31" s="514"/>
      <c r="C31" s="514"/>
      <c r="D31" s="514"/>
    </row>
    <row r="32" spans="1:19" s="501" customFormat="1" x14ac:dyDescent="0.25">
      <c r="A32" s="514"/>
      <c r="B32" s="514"/>
      <c r="C32" s="514"/>
      <c r="D32" s="514"/>
    </row>
    <row r="33" spans="1:4" s="501" customFormat="1" x14ac:dyDescent="0.25">
      <c r="A33" s="514"/>
      <c r="B33" s="514"/>
      <c r="C33" s="514"/>
      <c r="D33" s="514"/>
    </row>
    <row r="34" spans="1:4" s="501" customFormat="1" x14ac:dyDescent="0.25"/>
    <row r="35" spans="1:4" s="501" customFormat="1" x14ac:dyDescent="0.25"/>
    <row r="36" spans="1:4" s="501" customFormat="1" x14ac:dyDescent="0.25"/>
    <row r="37" spans="1:4" s="501" customFormat="1" x14ac:dyDescent="0.25"/>
    <row r="38" spans="1:4" s="501" customFormat="1" x14ac:dyDescent="0.25"/>
    <row r="39" spans="1:4" s="501" customFormat="1" x14ac:dyDescent="0.25"/>
    <row r="40" spans="1:4" s="501" customFormat="1" x14ac:dyDescent="0.25"/>
    <row r="41" spans="1:4" s="501" customFormat="1" x14ac:dyDescent="0.25"/>
  </sheetData>
  <mergeCells count="16">
    <mergeCell ref="R3:S3"/>
    <mergeCell ref="C6:S6"/>
    <mergeCell ref="A11:A12"/>
    <mergeCell ref="B11:C12"/>
    <mergeCell ref="D11:D12"/>
    <mergeCell ref="E11:S11"/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483" customWidth="1"/>
    <col min="2" max="2" width="23.7109375" style="483" customWidth="1"/>
    <col min="3" max="3" width="17.7109375" style="483" customWidth="1"/>
    <col min="4" max="4" width="15" style="483" customWidth="1"/>
    <col min="5" max="5" width="12.28515625" style="483" hidden="1" customWidth="1"/>
    <col min="6" max="6" width="13.140625" style="483" hidden="1" customWidth="1"/>
    <col min="7" max="22" width="13.85546875" style="483" hidden="1" customWidth="1"/>
    <col min="23" max="23" width="12.28515625" style="483" hidden="1" customWidth="1"/>
    <col min="24" max="24" width="0" style="483" hidden="1" customWidth="1"/>
    <col min="25" max="16384" width="11.42578125" style="483"/>
  </cols>
  <sheetData>
    <row r="1" spans="1:23" x14ac:dyDescent="0.25">
      <c r="A1" s="480"/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V1" s="481"/>
      <c r="W1" s="482"/>
    </row>
    <row r="2" spans="1:23" ht="15.75" customHeight="1" x14ac:dyDescent="0.25">
      <c r="A2" s="484"/>
      <c r="B2" s="485"/>
      <c r="C2" s="485"/>
      <c r="D2" s="485"/>
      <c r="E2" s="485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7"/>
    </row>
    <row r="3" spans="1:23" ht="15.75" customHeight="1" x14ac:dyDescent="0.25">
      <c r="A3" s="484"/>
      <c r="B3" s="486"/>
      <c r="C3" s="486"/>
      <c r="D3" s="485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708"/>
      <c r="W3" s="709"/>
    </row>
    <row r="4" spans="1:23" x14ac:dyDescent="0.25">
      <c r="A4" s="488"/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490"/>
    </row>
    <row r="5" spans="1:23" ht="6" customHeight="1" x14ac:dyDescent="0.25">
      <c r="V5" s="486"/>
      <c r="W5" s="487"/>
    </row>
    <row r="6" spans="1:23" ht="13.5" customHeight="1" x14ac:dyDescent="0.25">
      <c r="A6" s="515" t="s">
        <v>1142</v>
      </c>
      <c r="B6" s="516"/>
      <c r="C6" s="731" t="s">
        <v>1143</v>
      </c>
      <c r="D6" s="732"/>
      <c r="E6" s="732"/>
      <c r="F6" s="732"/>
      <c r="G6" s="732"/>
      <c r="H6" s="733"/>
      <c r="I6" s="517"/>
      <c r="J6" s="517"/>
      <c r="K6" s="517"/>
      <c r="L6" s="517"/>
      <c r="M6" s="517"/>
      <c r="N6" s="517"/>
      <c r="O6" s="517"/>
      <c r="P6" s="517"/>
      <c r="Q6" s="517"/>
      <c r="R6" s="517"/>
      <c r="S6" s="517"/>
      <c r="T6" s="517"/>
      <c r="U6" s="517"/>
      <c r="V6" s="517"/>
      <c r="W6" s="516"/>
    </row>
    <row r="7" spans="1:23" ht="13.5" customHeight="1" x14ac:dyDescent="0.25">
      <c r="A7" s="515" t="s">
        <v>1144</v>
      </c>
      <c r="B7" s="516"/>
      <c r="C7" s="515" t="s">
        <v>1145</v>
      </c>
      <c r="D7" s="517"/>
      <c r="E7" s="517"/>
      <c r="F7" s="517"/>
      <c r="G7" s="517"/>
      <c r="H7" s="517"/>
      <c r="I7" s="517"/>
      <c r="J7" s="517"/>
      <c r="K7" s="517"/>
      <c r="L7" s="517"/>
      <c r="M7" s="517"/>
      <c r="N7" s="517"/>
      <c r="O7" s="517"/>
      <c r="P7" s="517"/>
      <c r="Q7" s="517"/>
      <c r="R7" s="517"/>
      <c r="S7" s="517"/>
      <c r="T7" s="517"/>
      <c r="U7" s="517"/>
      <c r="V7" s="517"/>
      <c r="W7" s="516"/>
    </row>
    <row r="8" spans="1:23" ht="13.5" customHeight="1" x14ac:dyDescent="0.25">
      <c r="A8" s="515" t="s">
        <v>1146</v>
      </c>
      <c r="B8" s="516"/>
      <c r="C8" s="518" t="s">
        <v>1170</v>
      </c>
      <c r="D8" s="517"/>
      <c r="E8" s="517"/>
      <c r="F8" s="517"/>
      <c r="G8" s="517"/>
      <c r="H8" s="517"/>
      <c r="I8" s="517"/>
      <c r="J8" s="517"/>
      <c r="K8" s="517"/>
      <c r="L8" s="517"/>
      <c r="M8" s="517"/>
      <c r="N8" s="517"/>
      <c r="O8" s="517"/>
      <c r="P8" s="517"/>
      <c r="Q8" s="517"/>
      <c r="R8" s="517"/>
      <c r="S8" s="517"/>
      <c r="T8" s="517"/>
      <c r="U8" s="517"/>
      <c r="V8" s="517"/>
      <c r="W8" s="516"/>
    </row>
    <row r="9" spans="1:23" ht="13.5" customHeight="1" x14ac:dyDescent="0.25">
      <c r="A9" s="515" t="s">
        <v>1148</v>
      </c>
      <c r="B9" s="516"/>
      <c r="C9" s="515" t="s">
        <v>1149</v>
      </c>
      <c r="D9" s="517"/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6"/>
    </row>
    <row r="10" spans="1:23" ht="6" customHeight="1" x14ac:dyDescent="0.25">
      <c r="V10" s="489"/>
      <c r="W10" s="490"/>
    </row>
    <row r="11" spans="1:23" ht="12.75" customHeight="1" x14ac:dyDescent="0.25">
      <c r="A11" s="734" t="s">
        <v>1150</v>
      </c>
      <c r="B11" s="735" t="s">
        <v>1151</v>
      </c>
      <c r="C11" s="736"/>
      <c r="D11" s="739" t="s">
        <v>1171</v>
      </c>
      <c r="E11" s="741" t="s">
        <v>1153</v>
      </c>
      <c r="F11" s="742"/>
      <c r="G11" s="742"/>
      <c r="H11" s="742"/>
      <c r="I11" s="742"/>
      <c r="J11" s="742"/>
      <c r="K11" s="742"/>
      <c r="L11" s="742"/>
      <c r="M11" s="742"/>
      <c r="N11" s="742"/>
      <c r="O11" s="742"/>
      <c r="P11" s="742"/>
      <c r="Q11" s="742"/>
      <c r="R11" s="742"/>
      <c r="S11" s="742"/>
      <c r="T11" s="742"/>
      <c r="U11" s="742"/>
      <c r="V11" s="742"/>
      <c r="W11" s="742"/>
    </row>
    <row r="12" spans="1:23" ht="27.75" customHeight="1" x14ac:dyDescent="0.25">
      <c r="A12" s="734"/>
      <c r="B12" s="737"/>
      <c r="C12" s="738"/>
      <c r="D12" s="740"/>
      <c r="E12" s="519" t="s">
        <v>1154</v>
      </c>
      <c r="F12" s="519" t="s">
        <v>1155</v>
      </c>
      <c r="G12" s="519" t="s">
        <v>1156</v>
      </c>
      <c r="H12" s="519" t="s">
        <v>1157</v>
      </c>
      <c r="I12" s="519" t="s">
        <v>1158</v>
      </c>
      <c r="J12" s="519" t="s">
        <v>1159</v>
      </c>
      <c r="K12" s="519" t="s">
        <v>1160</v>
      </c>
      <c r="L12" s="519" t="s">
        <v>1161</v>
      </c>
      <c r="M12" s="519" t="s">
        <v>1162</v>
      </c>
      <c r="N12" s="519" t="s">
        <v>1163</v>
      </c>
      <c r="O12" s="519"/>
      <c r="P12" s="519"/>
      <c r="Q12" s="519"/>
      <c r="R12" s="519"/>
      <c r="S12" s="519"/>
      <c r="T12" s="519" t="s">
        <v>1162</v>
      </c>
      <c r="U12" s="519" t="s">
        <v>1163</v>
      </c>
      <c r="V12" s="519" t="s">
        <v>1164</v>
      </c>
      <c r="W12" s="520" t="s">
        <v>1165</v>
      </c>
    </row>
    <row r="13" spans="1:23" s="501" customFormat="1" ht="12.75" customHeight="1" x14ac:dyDescent="0.25">
      <c r="A13" s="514"/>
      <c r="B13" s="514"/>
      <c r="C13" s="514"/>
      <c r="D13" s="521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4"/>
      <c r="T13" s="514"/>
      <c r="U13" s="514"/>
      <c r="V13" s="514"/>
      <c r="W13" s="514"/>
    </row>
    <row r="14" spans="1:23" s="501" customFormat="1" ht="12.75" customHeight="1" x14ac:dyDescent="0.25">
      <c r="A14" s="514"/>
      <c r="B14" s="514"/>
      <c r="C14" s="514"/>
      <c r="D14" s="522">
        <f>+D15+D16+D17+D21</f>
        <v>11463821.459999997</v>
      </c>
      <c r="E14" s="522">
        <f t="shared" ref="E14:W14" si="0">+E15+E16+E17+E21</f>
        <v>854862.41999999993</v>
      </c>
      <c r="F14" s="522">
        <f t="shared" si="0"/>
        <v>854862.41999999993</v>
      </c>
      <c r="G14" s="522">
        <f t="shared" si="0"/>
        <v>854862.41999999993</v>
      </c>
      <c r="H14" s="522">
        <f t="shared" si="0"/>
        <v>854862.41999999993</v>
      </c>
      <c r="I14" s="522">
        <f t="shared" si="0"/>
        <v>1055774.4999999998</v>
      </c>
      <c r="J14" s="522">
        <f t="shared" si="0"/>
        <v>854862.41999999993</v>
      </c>
      <c r="K14" s="522">
        <f t="shared" si="0"/>
        <v>854862.41999999993</v>
      </c>
      <c r="L14" s="522">
        <f t="shared" ref="L14:R14" si="1">+L15+L16+L17+L21</f>
        <v>854862.41999999993</v>
      </c>
      <c r="M14" s="522">
        <f t="shared" si="1"/>
        <v>854862.41999999993</v>
      </c>
      <c r="N14" s="522">
        <f t="shared" si="1"/>
        <v>854862.41999999993</v>
      </c>
      <c r="O14" s="522">
        <f t="shared" si="1"/>
        <v>854862.41999999993</v>
      </c>
      <c r="P14" s="522">
        <f t="shared" si="1"/>
        <v>854862.41999999993</v>
      </c>
      <c r="Q14" s="522">
        <f t="shared" si="1"/>
        <v>1055774.4999999998</v>
      </c>
      <c r="R14" s="522">
        <f t="shared" si="1"/>
        <v>1658510.6799999997</v>
      </c>
      <c r="S14" s="521">
        <f>SUM(E14:R14)</f>
        <v>13173546.299999999</v>
      </c>
      <c r="T14" s="522">
        <f t="shared" si="0"/>
        <v>854862.41999999993</v>
      </c>
      <c r="U14" s="522">
        <f t="shared" si="0"/>
        <v>854862.41999999993</v>
      </c>
      <c r="V14" s="522">
        <f t="shared" si="0"/>
        <v>1055774.4999999998</v>
      </c>
      <c r="W14" s="522">
        <f t="shared" si="0"/>
        <v>1658510.6799999997</v>
      </c>
    </row>
    <row r="15" spans="1:23" s="501" customFormat="1" ht="12.75" customHeight="1" x14ac:dyDescent="0.25">
      <c r="A15" s="523">
        <v>1131</v>
      </c>
      <c r="B15" s="743" t="s">
        <v>1172</v>
      </c>
      <c r="C15" s="744"/>
      <c r="D15" s="524">
        <f>+E15+F15+G15+H15+I15+J15+K15+M15+T15+U15+V15+W15</f>
        <v>7585943.2799999975</v>
      </c>
      <c r="E15" s="525">
        <v>632161.93999999994</v>
      </c>
      <c r="F15" s="525">
        <v>632161.93999999994</v>
      </c>
      <c r="G15" s="525">
        <v>632161.93999999994</v>
      </c>
      <c r="H15" s="525">
        <v>632161.93999999994</v>
      </c>
      <c r="I15" s="525">
        <v>632161.93999999994</v>
      </c>
      <c r="J15" s="525">
        <v>632161.93999999994</v>
      </c>
      <c r="K15" s="525">
        <v>632161.93999999994</v>
      </c>
      <c r="L15" s="525">
        <v>632161.93999999994</v>
      </c>
      <c r="M15" s="525">
        <v>632161.93999999994</v>
      </c>
      <c r="N15" s="525">
        <v>632161.93999999994</v>
      </c>
      <c r="O15" s="525">
        <v>632161.93999999994</v>
      </c>
      <c r="P15" s="525">
        <v>632161.93999999994</v>
      </c>
      <c r="Q15" s="525">
        <v>632161.93999999994</v>
      </c>
      <c r="R15" s="525">
        <v>632161.93999999994</v>
      </c>
      <c r="S15" s="521">
        <f t="shared" ref="S15:S78" si="2">SUM(E15:R15)</f>
        <v>8850267.1599999964</v>
      </c>
      <c r="T15" s="525">
        <v>632161.93999999994</v>
      </c>
      <c r="U15" s="525">
        <v>632161.93999999994</v>
      </c>
      <c r="V15" s="525">
        <v>632161.93999999994</v>
      </c>
      <c r="W15" s="525">
        <v>632161.93999999994</v>
      </c>
    </row>
    <row r="16" spans="1:23" s="501" customFormat="1" ht="12.75" customHeight="1" x14ac:dyDescent="0.25">
      <c r="A16" s="526">
        <v>1211</v>
      </c>
      <c r="B16" s="729" t="s">
        <v>1173</v>
      </c>
      <c r="C16" s="730"/>
      <c r="D16" s="524">
        <f>+E16+F16+G16+H16+I16+J16+K16+M16+T16+U16+V16+W16</f>
        <v>1388309.5199999998</v>
      </c>
      <c r="E16" s="525">
        <v>115692.46</v>
      </c>
      <c r="F16" s="525">
        <v>115692.46</v>
      </c>
      <c r="G16" s="525">
        <v>115692.46</v>
      </c>
      <c r="H16" s="525">
        <v>115692.46</v>
      </c>
      <c r="I16" s="525">
        <v>115692.46</v>
      </c>
      <c r="J16" s="525">
        <v>115692.46</v>
      </c>
      <c r="K16" s="525">
        <v>115692.46</v>
      </c>
      <c r="L16" s="525">
        <v>115692.46</v>
      </c>
      <c r="M16" s="525">
        <v>115692.46</v>
      </c>
      <c r="N16" s="525">
        <v>115692.46</v>
      </c>
      <c r="O16" s="525">
        <v>115692.46</v>
      </c>
      <c r="P16" s="525">
        <v>115692.46</v>
      </c>
      <c r="Q16" s="525">
        <v>115692.46</v>
      </c>
      <c r="R16" s="525">
        <v>115692.46</v>
      </c>
      <c r="S16" s="521">
        <f t="shared" si="2"/>
        <v>1619694.4399999997</v>
      </c>
      <c r="T16" s="525">
        <v>115692.46</v>
      </c>
      <c r="U16" s="525">
        <v>115692.46</v>
      </c>
      <c r="V16" s="525">
        <v>115692.46</v>
      </c>
      <c r="W16" s="525">
        <v>115692.46</v>
      </c>
    </row>
    <row r="17" spans="1:23" s="501" customFormat="1" ht="12.75" customHeight="1" x14ac:dyDescent="0.25">
      <c r="A17" s="526"/>
      <c r="B17" s="527"/>
      <c r="C17" s="528"/>
      <c r="D17" s="529">
        <f>+D18+D19+D20</f>
        <v>1205472.48</v>
      </c>
      <c r="E17" s="529">
        <f t="shared" ref="E17:W17" si="3">+E18+E19+E20</f>
        <v>0</v>
      </c>
      <c r="F17" s="529">
        <f t="shared" si="3"/>
        <v>0</v>
      </c>
      <c r="G17" s="529">
        <f t="shared" si="3"/>
        <v>0</v>
      </c>
      <c r="H17" s="529">
        <f t="shared" si="3"/>
        <v>0</v>
      </c>
      <c r="I17" s="529">
        <f t="shared" si="3"/>
        <v>200912.08</v>
      </c>
      <c r="J17" s="529">
        <f t="shared" si="3"/>
        <v>0</v>
      </c>
      <c r="K17" s="529">
        <f t="shared" si="3"/>
        <v>0</v>
      </c>
      <c r="L17" s="529">
        <f t="shared" ref="L17:R17" si="4">+L18+L19+L20</f>
        <v>0</v>
      </c>
      <c r="M17" s="529">
        <f t="shared" si="4"/>
        <v>0</v>
      </c>
      <c r="N17" s="529">
        <f t="shared" si="4"/>
        <v>0</v>
      </c>
      <c r="O17" s="529">
        <f t="shared" si="4"/>
        <v>0</v>
      </c>
      <c r="P17" s="529">
        <f t="shared" si="4"/>
        <v>0</v>
      </c>
      <c r="Q17" s="529">
        <f t="shared" si="4"/>
        <v>200912.08</v>
      </c>
      <c r="R17" s="529">
        <f t="shared" si="4"/>
        <v>803648.32</v>
      </c>
      <c r="S17" s="521">
        <f t="shared" si="2"/>
        <v>1205472.48</v>
      </c>
      <c r="T17" s="529">
        <f t="shared" si="3"/>
        <v>0</v>
      </c>
      <c r="U17" s="529">
        <f t="shared" si="3"/>
        <v>0</v>
      </c>
      <c r="V17" s="529">
        <f t="shared" si="3"/>
        <v>200912.08</v>
      </c>
      <c r="W17" s="529">
        <f t="shared" si="3"/>
        <v>803648.32</v>
      </c>
    </row>
    <row r="18" spans="1:23" s="501" customFormat="1" ht="12.75" customHeight="1" x14ac:dyDescent="0.25">
      <c r="A18" s="526">
        <v>1322</v>
      </c>
      <c r="B18" s="729" t="s">
        <v>1174</v>
      </c>
      <c r="C18" s="730"/>
      <c r="D18" s="524">
        <f>+E18+F18+G18+H18+I18+J18+K18+M18+T18+U18+V18+W18</f>
        <v>401824.16</v>
      </c>
      <c r="E18" s="525">
        <v>0</v>
      </c>
      <c r="F18" s="525">
        <v>0</v>
      </c>
      <c r="G18" s="525">
        <v>0</v>
      </c>
      <c r="H18" s="525">
        <v>0</v>
      </c>
      <c r="I18" s="525">
        <v>200912.08</v>
      </c>
      <c r="J18" s="525">
        <v>0</v>
      </c>
      <c r="K18" s="525">
        <v>0</v>
      </c>
      <c r="L18" s="525">
        <v>0</v>
      </c>
      <c r="M18" s="525">
        <v>0</v>
      </c>
      <c r="N18" s="525">
        <v>0</v>
      </c>
      <c r="O18" s="525">
        <v>0</v>
      </c>
      <c r="P18" s="525">
        <v>0</v>
      </c>
      <c r="Q18" s="525">
        <v>200912.08</v>
      </c>
      <c r="R18" s="525">
        <v>0</v>
      </c>
      <c r="S18" s="521">
        <f t="shared" si="2"/>
        <v>401824.16</v>
      </c>
      <c r="T18" s="525">
        <v>0</v>
      </c>
      <c r="U18" s="525">
        <v>0</v>
      </c>
      <c r="V18" s="525">
        <v>200912.08</v>
      </c>
      <c r="W18" s="525">
        <v>0</v>
      </c>
    </row>
    <row r="19" spans="1:23" s="501" customFormat="1" ht="12.75" customHeight="1" x14ac:dyDescent="0.25">
      <c r="A19" s="526">
        <v>1328</v>
      </c>
      <c r="B19" s="729" t="s">
        <v>1175</v>
      </c>
      <c r="C19" s="730"/>
      <c r="D19" s="524">
        <f>+E19+F19+G19+H19+I19+J19+K19+M19+T19+U19+V19+W19</f>
        <v>803648.32</v>
      </c>
      <c r="E19" s="525">
        <v>0</v>
      </c>
      <c r="F19" s="525">
        <v>0</v>
      </c>
      <c r="G19" s="525">
        <v>0</v>
      </c>
      <c r="H19" s="525">
        <v>0</v>
      </c>
      <c r="I19" s="525">
        <v>0</v>
      </c>
      <c r="J19" s="525">
        <v>0</v>
      </c>
      <c r="K19" s="525">
        <v>0</v>
      </c>
      <c r="L19" s="525">
        <v>0</v>
      </c>
      <c r="M19" s="525">
        <v>0</v>
      </c>
      <c r="N19" s="525">
        <v>0</v>
      </c>
      <c r="O19" s="525">
        <v>0</v>
      </c>
      <c r="P19" s="525">
        <v>0</v>
      </c>
      <c r="Q19" s="525">
        <v>0</v>
      </c>
      <c r="R19" s="525">
        <v>803648.32</v>
      </c>
      <c r="S19" s="521">
        <f t="shared" si="2"/>
        <v>803648.32</v>
      </c>
      <c r="T19" s="525">
        <v>0</v>
      </c>
      <c r="U19" s="525">
        <v>0</v>
      </c>
      <c r="V19" s="525">
        <v>0</v>
      </c>
      <c r="W19" s="525">
        <v>803648.32</v>
      </c>
    </row>
    <row r="20" spans="1:23" s="501" customFormat="1" ht="12.75" customHeight="1" x14ac:dyDescent="0.25">
      <c r="A20" s="526">
        <v>1342</v>
      </c>
      <c r="B20" s="729" t="s">
        <v>1176</v>
      </c>
      <c r="C20" s="730"/>
      <c r="D20" s="524">
        <f>+E20+F20+G20+H20+I20+J20+K20+M20+T20+U20+V20+W20</f>
        <v>0</v>
      </c>
      <c r="E20" s="525">
        <v>0</v>
      </c>
      <c r="F20" s="525">
        <v>0</v>
      </c>
      <c r="G20" s="525">
        <v>0</v>
      </c>
      <c r="H20" s="525">
        <v>0</v>
      </c>
      <c r="I20" s="525">
        <v>0</v>
      </c>
      <c r="J20" s="525">
        <v>0</v>
      </c>
      <c r="K20" s="525">
        <v>0</v>
      </c>
      <c r="L20" s="525">
        <v>0</v>
      </c>
      <c r="M20" s="525">
        <v>0</v>
      </c>
      <c r="N20" s="525">
        <v>0</v>
      </c>
      <c r="O20" s="525">
        <v>0</v>
      </c>
      <c r="P20" s="525">
        <v>0</v>
      </c>
      <c r="Q20" s="525">
        <v>0</v>
      </c>
      <c r="R20" s="525">
        <v>0</v>
      </c>
      <c r="S20" s="521">
        <f t="shared" si="2"/>
        <v>0</v>
      </c>
      <c r="T20" s="525">
        <v>0</v>
      </c>
      <c r="U20" s="525">
        <v>0</v>
      </c>
      <c r="V20" s="525">
        <v>0</v>
      </c>
      <c r="W20" s="525">
        <v>0</v>
      </c>
    </row>
    <row r="21" spans="1:23" s="501" customFormat="1" ht="12.75" customHeight="1" x14ac:dyDescent="0.25">
      <c r="A21" s="526"/>
      <c r="B21" s="527"/>
      <c r="C21" s="528"/>
      <c r="D21" s="529">
        <f>+D22+D23</f>
        <v>1284096.18</v>
      </c>
      <c r="E21" s="529">
        <f t="shared" ref="E21:W21" si="5">+E22+E23</f>
        <v>107008.02</v>
      </c>
      <c r="F21" s="529">
        <f t="shared" si="5"/>
        <v>107008.02</v>
      </c>
      <c r="G21" s="529">
        <f t="shared" si="5"/>
        <v>107008.02</v>
      </c>
      <c r="H21" s="529">
        <f t="shared" si="5"/>
        <v>107008.02</v>
      </c>
      <c r="I21" s="529">
        <f t="shared" si="5"/>
        <v>107008.02</v>
      </c>
      <c r="J21" s="529">
        <f t="shared" si="5"/>
        <v>107008.02</v>
      </c>
      <c r="K21" s="529">
        <f t="shared" si="5"/>
        <v>107008.02</v>
      </c>
      <c r="L21" s="529">
        <f t="shared" ref="L21:R21" si="6">+L22+L23</f>
        <v>107008.02</v>
      </c>
      <c r="M21" s="529">
        <f t="shared" si="6"/>
        <v>107008.02</v>
      </c>
      <c r="N21" s="529">
        <f t="shared" si="6"/>
        <v>107008.02</v>
      </c>
      <c r="O21" s="529">
        <f t="shared" si="6"/>
        <v>107008.02</v>
      </c>
      <c r="P21" s="529">
        <f t="shared" si="6"/>
        <v>107008.02</v>
      </c>
      <c r="Q21" s="529">
        <f t="shared" si="6"/>
        <v>107008.02</v>
      </c>
      <c r="R21" s="529">
        <f t="shared" si="6"/>
        <v>107007.95999999999</v>
      </c>
      <c r="S21" s="521">
        <f t="shared" si="2"/>
        <v>1498112.22</v>
      </c>
      <c r="T21" s="529">
        <f t="shared" si="5"/>
        <v>107008.02</v>
      </c>
      <c r="U21" s="529">
        <f t="shared" si="5"/>
        <v>107008.02</v>
      </c>
      <c r="V21" s="529">
        <f t="shared" si="5"/>
        <v>107008.02</v>
      </c>
      <c r="W21" s="529">
        <f t="shared" si="5"/>
        <v>107007.95999999999</v>
      </c>
    </row>
    <row r="22" spans="1:23" s="501" customFormat="1" ht="12.75" customHeight="1" x14ac:dyDescent="0.25">
      <c r="A22" s="526">
        <v>1411</v>
      </c>
      <c r="B22" s="729" t="s">
        <v>1177</v>
      </c>
      <c r="C22" s="730"/>
      <c r="D22" s="524">
        <f>+E22+F22+G22+H22+I22+J22+K22+M22+T22+U22+V22+W22</f>
        <v>794945.25999999989</v>
      </c>
      <c r="E22" s="525">
        <v>66245.440000000002</v>
      </c>
      <c r="F22" s="525">
        <v>66245.440000000002</v>
      </c>
      <c r="G22" s="525">
        <v>66245.440000000002</v>
      </c>
      <c r="H22" s="525">
        <v>66245.440000000002</v>
      </c>
      <c r="I22" s="525">
        <v>66245.440000000002</v>
      </c>
      <c r="J22" s="525">
        <v>66245.440000000002</v>
      </c>
      <c r="K22" s="525">
        <v>66245.440000000002</v>
      </c>
      <c r="L22" s="525">
        <v>66245.440000000002</v>
      </c>
      <c r="M22" s="525">
        <v>66245.440000000002</v>
      </c>
      <c r="N22" s="525">
        <v>66245.440000000002</v>
      </c>
      <c r="O22" s="525">
        <v>66245.440000000002</v>
      </c>
      <c r="P22" s="525">
        <v>66245.440000000002</v>
      </c>
      <c r="Q22" s="525">
        <v>66245.440000000002</v>
      </c>
      <c r="R22" s="525">
        <v>66245.42</v>
      </c>
      <c r="S22" s="521">
        <f t="shared" si="2"/>
        <v>927436.13999999978</v>
      </c>
      <c r="T22" s="525">
        <v>66245.440000000002</v>
      </c>
      <c r="U22" s="525">
        <v>66245.440000000002</v>
      </c>
      <c r="V22" s="525">
        <v>66245.440000000002</v>
      </c>
      <c r="W22" s="525">
        <v>66245.42</v>
      </c>
    </row>
    <row r="23" spans="1:23" s="501" customFormat="1" ht="12.75" customHeight="1" x14ac:dyDescent="0.25">
      <c r="A23" s="526">
        <v>1412</v>
      </c>
      <c r="B23" s="729" t="s">
        <v>1178</v>
      </c>
      <c r="C23" s="730"/>
      <c r="D23" s="524">
        <f>+E23+F23+G23+H23+I23+J23+K23+M23+T23+U23+V23+W23</f>
        <v>489150.9200000001</v>
      </c>
      <c r="E23" s="525">
        <v>40762.58</v>
      </c>
      <c r="F23" s="525">
        <v>40762.58</v>
      </c>
      <c r="G23" s="525">
        <v>40762.58</v>
      </c>
      <c r="H23" s="525">
        <v>40762.58</v>
      </c>
      <c r="I23" s="525">
        <v>40762.58</v>
      </c>
      <c r="J23" s="525">
        <v>40762.58</v>
      </c>
      <c r="K23" s="525">
        <v>40762.58</v>
      </c>
      <c r="L23" s="525">
        <v>40762.58</v>
      </c>
      <c r="M23" s="525">
        <v>40762.58</v>
      </c>
      <c r="N23" s="525">
        <v>40762.58</v>
      </c>
      <c r="O23" s="525">
        <v>40762.58</v>
      </c>
      <c r="P23" s="525">
        <v>40762.58</v>
      </c>
      <c r="Q23" s="525">
        <v>40762.58</v>
      </c>
      <c r="R23" s="525">
        <v>40762.54</v>
      </c>
      <c r="S23" s="521">
        <f t="shared" si="2"/>
        <v>570676.08000000019</v>
      </c>
      <c r="T23" s="525">
        <v>40762.58</v>
      </c>
      <c r="U23" s="525">
        <v>40762.58</v>
      </c>
      <c r="V23" s="525">
        <v>40762.58</v>
      </c>
      <c r="W23" s="525">
        <v>40762.54</v>
      </c>
    </row>
    <row r="24" spans="1:23" s="501" customFormat="1" ht="12.75" customHeight="1" x14ac:dyDescent="0.25">
      <c r="A24" s="526"/>
      <c r="B24" s="527"/>
      <c r="C24" s="528"/>
      <c r="D24" s="529">
        <f>+D25+D30+D33+D37+D41+D42+D46</f>
        <v>552205.29</v>
      </c>
      <c r="E24" s="529">
        <f t="shared" ref="E24:W24" si="7">+E25+E30+E33+E37+E41+E42+E46</f>
        <v>31420.420000000002</v>
      </c>
      <c r="F24" s="529">
        <f t="shared" si="7"/>
        <v>21484.87</v>
      </c>
      <c r="G24" s="529">
        <f t="shared" si="7"/>
        <v>49200</v>
      </c>
      <c r="H24" s="529">
        <f t="shared" si="7"/>
        <v>31200</v>
      </c>
      <c r="I24" s="529">
        <f t="shared" si="7"/>
        <v>93200</v>
      </c>
      <c r="J24" s="529">
        <f t="shared" si="7"/>
        <v>43200</v>
      </c>
      <c r="K24" s="529">
        <f t="shared" si="7"/>
        <v>48200</v>
      </c>
      <c r="L24" s="529">
        <f t="shared" ref="L24:R24" si="8">+L25+L30+L33+L37+L41+L42+L46</f>
        <v>76200</v>
      </c>
      <c r="M24" s="529">
        <f t="shared" si="8"/>
        <v>44200</v>
      </c>
      <c r="N24" s="529">
        <f t="shared" si="8"/>
        <v>37200</v>
      </c>
      <c r="O24" s="529">
        <f t="shared" si="8"/>
        <v>44200</v>
      </c>
      <c r="P24" s="529">
        <f t="shared" si="8"/>
        <v>37200</v>
      </c>
      <c r="Q24" s="529">
        <f t="shared" si="8"/>
        <v>85700</v>
      </c>
      <c r="R24" s="529">
        <f t="shared" si="8"/>
        <v>23000</v>
      </c>
      <c r="S24" s="521">
        <f t="shared" si="2"/>
        <v>665605.29</v>
      </c>
      <c r="T24" s="529">
        <f t="shared" si="7"/>
        <v>44200</v>
      </c>
      <c r="U24" s="529">
        <f t="shared" si="7"/>
        <v>37200</v>
      </c>
      <c r="V24" s="529">
        <f t="shared" si="7"/>
        <v>85700</v>
      </c>
      <c r="W24" s="529">
        <f t="shared" si="7"/>
        <v>23000</v>
      </c>
    </row>
    <row r="25" spans="1:23" s="501" customFormat="1" ht="12.75" customHeight="1" x14ac:dyDescent="0.25">
      <c r="A25" s="526"/>
      <c r="B25" s="527"/>
      <c r="C25" s="528"/>
      <c r="D25" s="529">
        <f>SUM(D26:D29)</f>
        <v>195796.2</v>
      </c>
      <c r="E25" s="529">
        <f t="shared" ref="E25:W25" si="9">SUM(E26:E29)</f>
        <v>14401.119999999999</v>
      </c>
      <c r="F25" s="529">
        <f t="shared" si="9"/>
        <v>4895.08</v>
      </c>
      <c r="G25" s="529">
        <f t="shared" si="9"/>
        <v>9000</v>
      </c>
      <c r="H25" s="529">
        <f t="shared" si="9"/>
        <v>9000</v>
      </c>
      <c r="I25" s="529">
        <f t="shared" si="9"/>
        <v>52000</v>
      </c>
      <c r="J25" s="529">
        <f t="shared" si="9"/>
        <v>11000</v>
      </c>
      <c r="K25" s="529">
        <f t="shared" si="9"/>
        <v>11000</v>
      </c>
      <c r="L25" s="529">
        <f t="shared" ref="L25:N25" si="10">SUM(L26:L29)</f>
        <v>52000</v>
      </c>
      <c r="M25" s="529">
        <f t="shared" si="10"/>
        <v>9000</v>
      </c>
      <c r="N25" s="529">
        <f t="shared" si="10"/>
        <v>9000</v>
      </c>
      <c r="O25" s="529">
        <f t="shared" ref="O25:R25" si="11">SUM(O26:O29)</f>
        <v>9000</v>
      </c>
      <c r="P25" s="529">
        <f t="shared" si="11"/>
        <v>9000</v>
      </c>
      <c r="Q25" s="529">
        <f t="shared" si="11"/>
        <v>52000</v>
      </c>
      <c r="R25" s="529">
        <f t="shared" si="11"/>
        <v>5500</v>
      </c>
      <c r="S25" s="521">
        <f t="shared" si="2"/>
        <v>256796.2</v>
      </c>
      <c r="T25" s="529">
        <f t="shared" si="9"/>
        <v>9000</v>
      </c>
      <c r="U25" s="529">
        <f t="shared" si="9"/>
        <v>9000</v>
      </c>
      <c r="V25" s="529">
        <f t="shared" si="9"/>
        <v>52000</v>
      </c>
      <c r="W25" s="529">
        <f t="shared" si="9"/>
        <v>5500</v>
      </c>
    </row>
    <row r="26" spans="1:23" s="501" customFormat="1" ht="12.75" customHeight="1" x14ac:dyDescent="0.25">
      <c r="A26" s="530">
        <v>2111</v>
      </c>
      <c r="B26" s="723" t="s">
        <v>1179</v>
      </c>
      <c r="C26" s="724"/>
      <c r="D26" s="524">
        <f>+E26+F26+G26+H26+I26+J26+K26+M26+T26+U26+V26+W26</f>
        <v>52589.380000000005</v>
      </c>
      <c r="E26" s="525">
        <v>1947.29</v>
      </c>
      <c r="F26" s="525">
        <v>4642.09</v>
      </c>
      <c r="G26" s="525">
        <v>2000</v>
      </c>
      <c r="H26" s="525">
        <v>2000</v>
      </c>
      <c r="I26" s="525">
        <v>13000</v>
      </c>
      <c r="J26" s="525">
        <v>4000</v>
      </c>
      <c r="K26" s="525">
        <v>4000</v>
      </c>
      <c r="L26" s="525">
        <v>13000</v>
      </c>
      <c r="M26" s="525">
        <v>2000</v>
      </c>
      <c r="N26" s="525">
        <v>2000</v>
      </c>
      <c r="O26" s="525">
        <v>2000</v>
      </c>
      <c r="P26" s="525">
        <v>2000</v>
      </c>
      <c r="Q26" s="525">
        <v>13000</v>
      </c>
      <c r="R26" s="525">
        <v>2000</v>
      </c>
      <c r="S26" s="521">
        <f t="shared" si="2"/>
        <v>67589.38</v>
      </c>
      <c r="T26" s="525">
        <v>2000</v>
      </c>
      <c r="U26" s="525">
        <v>2000</v>
      </c>
      <c r="V26" s="525">
        <v>13000</v>
      </c>
      <c r="W26" s="525">
        <v>2000</v>
      </c>
    </row>
    <row r="27" spans="1:23" s="501" customFormat="1" ht="18.75" customHeight="1" x14ac:dyDescent="0.25">
      <c r="A27" s="530">
        <v>2141</v>
      </c>
      <c r="B27" s="723" t="s">
        <v>1180</v>
      </c>
      <c r="C27" s="724"/>
      <c r="D27" s="524">
        <f>+E27+F27+G27+H27+I27+J27+K27+M27+T27+U27+V27+W27</f>
        <v>103733.1</v>
      </c>
      <c r="E27" s="525">
        <v>6733.1</v>
      </c>
      <c r="F27" s="525">
        <v>0</v>
      </c>
      <c r="G27" s="525">
        <v>5000</v>
      </c>
      <c r="H27" s="525">
        <v>5000</v>
      </c>
      <c r="I27" s="525">
        <v>30000</v>
      </c>
      <c r="J27" s="525">
        <v>5000</v>
      </c>
      <c r="K27" s="525">
        <v>5000</v>
      </c>
      <c r="L27" s="525">
        <v>30000</v>
      </c>
      <c r="M27" s="525">
        <v>5000</v>
      </c>
      <c r="N27" s="525">
        <v>5000</v>
      </c>
      <c r="O27" s="525">
        <v>5000</v>
      </c>
      <c r="P27" s="525">
        <v>5000</v>
      </c>
      <c r="Q27" s="525">
        <v>30000</v>
      </c>
      <c r="R27" s="525">
        <v>2000</v>
      </c>
      <c r="S27" s="521">
        <f t="shared" si="2"/>
        <v>138733.1</v>
      </c>
      <c r="T27" s="525">
        <v>5000</v>
      </c>
      <c r="U27" s="525">
        <v>5000</v>
      </c>
      <c r="V27" s="525">
        <v>30000</v>
      </c>
      <c r="W27" s="525">
        <v>2000</v>
      </c>
    </row>
    <row r="28" spans="1:23" s="501" customFormat="1" ht="12.75" customHeight="1" x14ac:dyDescent="0.25">
      <c r="A28" s="530">
        <v>2151</v>
      </c>
      <c r="B28" s="723" t="s">
        <v>1181</v>
      </c>
      <c r="C28" s="724"/>
      <c r="D28" s="524">
        <f>+E28+F28+G28+H28+I28+J28+K28+M28+T28+U28+V28+W28</f>
        <v>10190</v>
      </c>
      <c r="E28" s="525">
        <v>76</v>
      </c>
      <c r="F28" s="525">
        <v>114</v>
      </c>
      <c r="G28" s="525">
        <v>1000</v>
      </c>
      <c r="H28" s="525">
        <v>1000</v>
      </c>
      <c r="I28" s="525">
        <v>1000</v>
      </c>
      <c r="J28" s="525">
        <v>1000</v>
      </c>
      <c r="K28" s="525">
        <v>1000</v>
      </c>
      <c r="L28" s="525">
        <v>1000</v>
      </c>
      <c r="M28" s="525">
        <v>1000</v>
      </c>
      <c r="N28" s="525">
        <v>1000</v>
      </c>
      <c r="O28" s="525">
        <v>1000</v>
      </c>
      <c r="P28" s="525">
        <v>1000</v>
      </c>
      <c r="Q28" s="525">
        <v>1000</v>
      </c>
      <c r="R28" s="525">
        <v>1000</v>
      </c>
      <c r="S28" s="521">
        <f t="shared" si="2"/>
        <v>12190</v>
      </c>
      <c r="T28" s="525">
        <v>1000</v>
      </c>
      <c r="U28" s="525">
        <v>1000</v>
      </c>
      <c r="V28" s="525">
        <v>1000</v>
      </c>
      <c r="W28" s="525">
        <v>1000</v>
      </c>
    </row>
    <row r="29" spans="1:23" s="501" customFormat="1" ht="12.75" customHeight="1" x14ac:dyDescent="0.25">
      <c r="A29" s="530">
        <v>2161</v>
      </c>
      <c r="B29" s="729" t="s">
        <v>1182</v>
      </c>
      <c r="C29" s="730"/>
      <c r="D29" s="524">
        <f>+E29+F29+G29+H29+I29+J29+K29+M29+T29+U29+V29+W29</f>
        <v>29283.72</v>
      </c>
      <c r="E29" s="525">
        <v>5644.73</v>
      </c>
      <c r="F29" s="525">
        <v>138.99</v>
      </c>
      <c r="G29" s="525">
        <v>1000</v>
      </c>
      <c r="H29" s="525">
        <v>1000</v>
      </c>
      <c r="I29" s="525">
        <v>8000</v>
      </c>
      <c r="J29" s="525">
        <v>1000</v>
      </c>
      <c r="K29" s="525">
        <v>1000</v>
      </c>
      <c r="L29" s="525">
        <v>8000</v>
      </c>
      <c r="M29" s="525">
        <v>1000</v>
      </c>
      <c r="N29" s="525">
        <v>1000</v>
      </c>
      <c r="O29" s="525">
        <v>1000</v>
      </c>
      <c r="P29" s="525">
        <v>1000</v>
      </c>
      <c r="Q29" s="525">
        <v>8000</v>
      </c>
      <c r="R29" s="525">
        <v>500</v>
      </c>
      <c r="S29" s="521">
        <f t="shared" si="2"/>
        <v>38283.72</v>
      </c>
      <c r="T29" s="525">
        <v>1000</v>
      </c>
      <c r="U29" s="525">
        <v>1000</v>
      </c>
      <c r="V29" s="525">
        <v>8000</v>
      </c>
      <c r="W29" s="525">
        <v>500</v>
      </c>
    </row>
    <row r="30" spans="1:23" s="501" customFormat="1" ht="12.75" customHeight="1" x14ac:dyDescent="0.25">
      <c r="A30" s="530"/>
      <c r="B30" s="527"/>
      <c r="C30" s="528"/>
      <c r="D30" s="529">
        <f>SUM(D31:D32)</f>
        <v>133689.88</v>
      </c>
      <c r="E30" s="529">
        <f t="shared" ref="E30:W30" si="12">SUM(E31:E32)</f>
        <v>8445.2900000000009</v>
      </c>
      <c r="F30" s="529">
        <f t="shared" si="12"/>
        <v>7244.5899999999992</v>
      </c>
      <c r="G30" s="529">
        <f t="shared" si="12"/>
        <v>13500</v>
      </c>
      <c r="H30" s="529">
        <f t="shared" si="12"/>
        <v>6500</v>
      </c>
      <c r="I30" s="529">
        <f t="shared" si="12"/>
        <v>17500</v>
      </c>
      <c r="J30" s="529">
        <f t="shared" si="12"/>
        <v>13500</v>
      </c>
      <c r="K30" s="529">
        <f t="shared" si="12"/>
        <v>13500</v>
      </c>
      <c r="L30" s="529">
        <f t="shared" ref="L30:R30" si="13">SUM(L31:L32)</f>
        <v>6500</v>
      </c>
      <c r="M30" s="529">
        <f t="shared" si="13"/>
        <v>13500</v>
      </c>
      <c r="N30" s="529">
        <f t="shared" si="13"/>
        <v>6500</v>
      </c>
      <c r="O30" s="529">
        <f t="shared" si="13"/>
        <v>13500</v>
      </c>
      <c r="P30" s="529">
        <f t="shared" si="13"/>
        <v>6500</v>
      </c>
      <c r="Q30" s="529">
        <f t="shared" si="13"/>
        <v>13500</v>
      </c>
      <c r="R30" s="529">
        <f t="shared" si="13"/>
        <v>6500</v>
      </c>
      <c r="S30" s="521">
        <f t="shared" si="2"/>
        <v>146689.88</v>
      </c>
      <c r="T30" s="529">
        <f t="shared" si="12"/>
        <v>13500</v>
      </c>
      <c r="U30" s="529">
        <f t="shared" si="12"/>
        <v>6500</v>
      </c>
      <c r="V30" s="529">
        <f t="shared" si="12"/>
        <v>13500</v>
      </c>
      <c r="W30" s="529">
        <f t="shared" si="12"/>
        <v>6500</v>
      </c>
    </row>
    <row r="31" spans="1:23" s="501" customFormat="1" ht="12.75" customHeight="1" x14ac:dyDescent="0.25">
      <c r="A31" s="530">
        <v>2211</v>
      </c>
      <c r="B31" s="729" t="s">
        <v>1183</v>
      </c>
      <c r="C31" s="730"/>
      <c r="D31" s="524">
        <f>+E31+F31+G31+H31+I31+J31+K31+M31+T31+U31+V31+W31</f>
        <v>128290.69</v>
      </c>
      <c r="E31" s="525">
        <v>8237.7900000000009</v>
      </c>
      <c r="F31" s="525">
        <v>7052.9</v>
      </c>
      <c r="G31" s="525">
        <v>13000</v>
      </c>
      <c r="H31" s="525">
        <v>6000</v>
      </c>
      <c r="I31" s="525">
        <v>17000</v>
      </c>
      <c r="J31" s="525">
        <v>13000</v>
      </c>
      <c r="K31" s="525">
        <v>13000</v>
      </c>
      <c r="L31" s="525">
        <v>6000</v>
      </c>
      <c r="M31" s="525">
        <v>13000</v>
      </c>
      <c r="N31" s="525">
        <v>6000</v>
      </c>
      <c r="O31" s="525">
        <v>13000</v>
      </c>
      <c r="P31" s="525">
        <v>6000</v>
      </c>
      <c r="Q31" s="525">
        <v>13000</v>
      </c>
      <c r="R31" s="525">
        <v>6000</v>
      </c>
      <c r="S31" s="521">
        <f t="shared" si="2"/>
        <v>140290.69</v>
      </c>
      <c r="T31" s="525">
        <v>13000</v>
      </c>
      <c r="U31" s="525">
        <v>6000</v>
      </c>
      <c r="V31" s="525">
        <v>13000</v>
      </c>
      <c r="W31" s="525">
        <v>6000</v>
      </c>
    </row>
    <row r="32" spans="1:23" s="501" customFormat="1" ht="12.75" customHeight="1" x14ac:dyDescent="0.25">
      <c r="A32" s="530">
        <v>2231</v>
      </c>
      <c r="B32" s="729" t="s">
        <v>1184</v>
      </c>
      <c r="C32" s="730"/>
      <c r="D32" s="524">
        <f>+E32+F32+G32+H32+I32+J32+K32+M32+T32+U32+V32+W32</f>
        <v>5399.1900000000005</v>
      </c>
      <c r="E32" s="525">
        <v>207.5</v>
      </c>
      <c r="F32" s="525">
        <v>191.69</v>
      </c>
      <c r="G32" s="525">
        <v>500</v>
      </c>
      <c r="H32" s="525">
        <v>500</v>
      </c>
      <c r="I32" s="525">
        <v>500</v>
      </c>
      <c r="J32" s="525">
        <v>500</v>
      </c>
      <c r="K32" s="525">
        <v>500</v>
      </c>
      <c r="L32" s="525">
        <v>500</v>
      </c>
      <c r="M32" s="525">
        <v>500</v>
      </c>
      <c r="N32" s="525">
        <v>500</v>
      </c>
      <c r="O32" s="525">
        <v>500</v>
      </c>
      <c r="P32" s="525">
        <v>500</v>
      </c>
      <c r="Q32" s="525">
        <v>500</v>
      </c>
      <c r="R32" s="525">
        <v>500</v>
      </c>
      <c r="S32" s="521">
        <f t="shared" si="2"/>
        <v>6399.1900000000005</v>
      </c>
      <c r="T32" s="525">
        <v>500</v>
      </c>
      <c r="U32" s="525">
        <v>500</v>
      </c>
      <c r="V32" s="525">
        <v>500</v>
      </c>
      <c r="W32" s="525">
        <v>500</v>
      </c>
    </row>
    <row r="33" spans="1:23" s="501" customFormat="1" ht="12.75" customHeight="1" x14ac:dyDescent="0.25">
      <c r="A33" s="530"/>
      <c r="B33" s="527"/>
      <c r="C33" s="528"/>
      <c r="D33" s="529">
        <f>SUM(D34:D36)</f>
        <v>31641.989999999998</v>
      </c>
      <c r="E33" s="529">
        <f t="shared" ref="E33:W33" si="14">SUM(E34:E36)</f>
        <v>615.99</v>
      </c>
      <c r="F33" s="529">
        <f t="shared" si="14"/>
        <v>26</v>
      </c>
      <c r="G33" s="529">
        <f t="shared" si="14"/>
        <v>0</v>
      </c>
      <c r="H33" s="529">
        <f t="shared" si="14"/>
        <v>4000</v>
      </c>
      <c r="I33" s="529">
        <f t="shared" si="14"/>
        <v>6000</v>
      </c>
      <c r="J33" s="529">
        <f t="shared" si="14"/>
        <v>1000</v>
      </c>
      <c r="K33" s="529">
        <f t="shared" si="14"/>
        <v>6000</v>
      </c>
      <c r="L33" s="529">
        <f t="shared" ref="L33:R33" si="15">SUM(L34:L36)</f>
        <v>1000</v>
      </c>
      <c r="M33" s="529">
        <f t="shared" si="15"/>
        <v>3000</v>
      </c>
      <c r="N33" s="529">
        <f t="shared" si="15"/>
        <v>4000</v>
      </c>
      <c r="O33" s="529">
        <f t="shared" si="15"/>
        <v>3000</v>
      </c>
      <c r="P33" s="529">
        <f t="shared" si="15"/>
        <v>4000</v>
      </c>
      <c r="Q33" s="529">
        <f t="shared" si="15"/>
        <v>4000</v>
      </c>
      <c r="R33" s="529">
        <f t="shared" si="15"/>
        <v>0</v>
      </c>
      <c r="S33" s="521">
        <f t="shared" si="2"/>
        <v>36641.99</v>
      </c>
      <c r="T33" s="529">
        <f t="shared" si="14"/>
        <v>3000</v>
      </c>
      <c r="U33" s="529">
        <f t="shared" si="14"/>
        <v>4000</v>
      </c>
      <c r="V33" s="529">
        <f t="shared" si="14"/>
        <v>4000</v>
      </c>
      <c r="W33" s="529">
        <f t="shared" si="14"/>
        <v>0</v>
      </c>
    </row>
    <row r="34" spans="1:23" s="501" customFormat="1" ht="12.75" customHeight="1" x14ac:dyDescent="0.25">
      <c r="A34" s="530">
        <v>2461</v>
      </c>
      <c r="B34" s="723" t="s">
        <v>1185</v>
      </c>
      <c r="C34" s="724"/>
      <c r="D34" s="524">
        <f>+E34+F34+G34+H34+I34+J34+K34+M34+T34+U34+V34+W34</f>
        <v>18582.989999999998</v>
      </c>
      <c r="E34" s="525">
        <v>556.99</v>
      </c>
      <c r="F34" s="525">
        <v>26</v>
      </c>
      <c r="G34" s="525">
        <v>0</v>
      </c>
      <c r="H34" s="525">
        <v>0</v>
      </c>
      <c r="I34" s="525">
        <v>6000</v>
      </c>
      <c r="J34" s="525">
        <v>0</v>
      </c>
      <c r="K34" s="525">
        <v>3000</v>
      </c>
      <c r="L34" s="525">
        <v>0</v>
      </c>
      <c r="M34" s="525">
        <v>3000</v>
      </c>
      <c r="N34" s="525">
        <v>0</v>
      </c>
      <c r="O34" s="525">
        <v>3000</v>
      </c>
      <c r="P34" s="525">
        <v>0</v>
      </c>
      <c r="Q34" s="525">
        <v>3000</v>
      </c>
      <c r="R34" s="525">
        <v>0</v>
      </c>
      <c r="S34" s="521">
        <f t="shared" si="2"/>
        <v>18582.989999999998</v>
      </c>
      <c r="T34" s="525">
        <v>3000</v>
      </c>
      <c r="U34" s="525">
        <v>0</v>
      </c>
      <c r="V34" s="525">
        <v>3000</v>
      </c>
      <c r="W34" s="525">
        <v>0</v>
      </c>
    </row>
    <row r="35" spans="1:23" s="501" customFormat="1" ht="12.75" customHeight="1" x14ac:dyDescent="0.25">
      <c r="A35" s="530">
        <v>2481</v>
      </c>
      <c r="B35" s="723" t="s">
        <v>1186</v>
      </c>
      <c r="C35" s="724"/>
      <c r="D35" s="524">
        <f>+E35+F35+G35+H35+I35+J35+K35+M35+T35+U35+V35+W35</f>
        <v>9059</v>
      </c>
      <c r="E35" s="525">
        <v>59</v>
      </c>
      <c r="F35" s="525">
        <v>0</v>
      </c>
      <c r="G35" s="525">
        <v>0</v>
      </c>
      <c r="H35" s="525">
        <v>3000</v>
      </c>
      <c r="I35" s="525">
        <v>0</v>
      </c>
      <c r="J35" s="525">
        <v>0</v>
      </c>
      <c r="K35" s="525">
        <v>3000</v>
      </c>
      <c r="L35" s="525">
        <v>0</v>
      </c>
      <c r="M35" s="525">
        <v>0</v>
      </c>
      <c r="N35" s="525">
        <v>3000</v>
      </c>
      <c r="O35" s="525">
        <v>0</v>
      </c>
      <c r="P35" s="525">
        <v>3000</v>
      </c>
      <c r="Q35" s="525">
        <v>0</v>
      </c>
      <c r="R35" s="525">
        <v>0</v>
      </c>
      <c r="S35" s="521">
        <f t="shared" si="2"/>
        <v>12059</v>
      </c>
      <c r="T35" s="525">
        <v>0</v>
      </c>
      <c r="U35" s="525">
        <v>3000</v>
      </c>
      <c r="V35" s="525">
        <v>0</v>
      </c>
      <c r="W35" s="525">
        <v>0</v>
      </c>
    </row>
    <row r="36" spans="1:23" s="501" customFormat="1" ht="12.75" customHeight="1" x14ac:dyDescent="0.25">
      <c r="A36" s="530">
        <v>2491</v>
      </c>
      <c r="B36" s="729" t="s">
        <v>1187</v>
      </c>
      <c r="C36" s="730"/>
      <c r="D36" s="524">
        <f>+E36+F36+G36+H36+I36+J36+K36+M36+T36+U36+V36+W36</f>
        <v>4000</v>
      </c>
      <c r="E36" s="525">
        <v>0</v>
      </c>
      <c r="F36" s="525">
        <v>0</v>
      </c>
      <c r="G36" s="525">
        <v>0</v>
      </c>
      <c r="H36" s="525">
        <v>1000</v>
      </c>
      <c r="I36" s="525">
        <v>0</v>
      </c>
      <c r="J36" s="525">
        <v>1000</v>
      </c>
      <c r="K36" s="525">
        <v>0</v>
      </c>
      <c r="L36" s="525">
        <v>1000</v>
      </c>
      <c r="M36" s="525">
        <v>0</v>
      </c>
      <c r="N36" s="525">
        <v>1000</v>
      </c>
      <c r="O36" s="525">
        <v>0</v>
      </c>
      <c r="P36" s="525">
        <v>1000</v>
      </c>
      <c r="Q36" s="525">
        <v>1000</v>
      </c>
      <c r="R36" s="525">
        <v>0</v>
      </c>
      <c r="S36" s="521">
        <f t="shared" si="2"/>
        <v>6000</v>
      </c>
      <c r="T36" s="525">
        <v>0</v>
      </c>
      <c r="U36" s="525">
        <v>1000</v>
      </c>
      <c r="V36" s="525">
        <v>1000</v>
      </c>
      <c r="W36" s="525">
        <v>0</v>
      </c>
    </row>
    <row r="37" spans="1:23" s="501" customFormat="1" ht="12.75" customHeight="1" x14ac:dyDescent="0.25">
      <c r="A37" s="530"/>
      <c r="B37" s="527"/>
      <c r="C37" s="528"/>
      <c r="D37" s="529">
        <f>SUM(D38:D39)</f>
        <v>4800</v>
      </c>
      <c r="E37" s="529">
        <f t="shared" ref="E37:W37" si="16">SUM(E38:E39)</f>
        <v>0</v>
      </c>
      <c r="F37" s="529">
        <f t="shared" si="16"/>
        <v>0</v>
      </c>
      <c r="G37" s="529">
        <f t="shared" si="16"/>
        <v>200</v>
      </c>
      <c r="H37" s="529">
        <f t="shared" si="16"/>
        <v>200</v>
      </c>
      <c r="I37" s="529">
        <f t="shared" si="16"/>
        <v>1200</v>
      </c>
      <c r="J37" s="529">
        <f t="shared" si="16"/>
        <v>200</v>
      </c>
      <c r="K37" s="529">
        <f t="shared" si="16"/>
        <v>200</v>
      </c>
      <c r="L37" s="529">
        <f t="shared" ref="L37:R37" si="17">SUM(L38:L39)</f>
        <v>200</v>
      </c>
      <c r="M37" s="529">
        <f t="shared" si="17"/>
        <v>1200</v>
      </c>
      <c r="N37" s="529">
        <f t="shared" si="17"/>
        <v>200</v>
      </c>
      <c r="O37" s="529">
        <f t="shared" si="17"/>
        <v>1200</v>
      </c>
      <c r="P37" s="529">
        <f t="shared" si="17"/>
        <v>200</v>
      </c>
      <c r="Q37" s="529">
        <f t="shared" si="17"/>
        <v>200</v>
      </c>
      <c r="R37" s="529">
        <f t="shared" si="17"/>
        <v>0</v>
      </c>
      <c r="S37" s="521">
        <f t="shared" si="2"/>
        <v>5200</v>
      </c>
      <c r="T37" s="529">
        <f t="shared" si="16"/>
        <v>1200</v>
      </c>
      <c r="U37" s="529">
        <f t="shared" si="16"/>
        <v>200</v>
      </c>
      <c r="V37" s="529">
        <f t="shared" si="16"/>
        <v>200</v>
      </c>
      <c r="W37" s="529">
        <f t="shared" si="16"/>
        <v>0</v>
      </c>
    </row>
    <row r="38" spans="1:23" s="501" customFormat="1" ht="12.75" customHeight="1" x14ac:dyDescent="0.25">
      <c r="A38" s="530">
        <v>2521</v>
      </c>
      <c r="B38" s="729" t="s">
        <v>1188</v>
      </c>
      <c r="C38" s="730"/>
      <c r="D38" s="524">
        <f>+E38+F38+G38+H38+I38+J38+K38+M38+T38+U38+V38+W38</f>
        <v>1800</v>
      </c>
      <c r="E38" s="525">
        <v>0</v>
      </c>
      <c r="F38" s="525">
        <v>0</v>
      </c>
      <c r="G38" s="525">
        <v>200</v>
      </c>
      <c r="H38" s="525">
        <v>200</v>
      </c>
      <c r="I38" s="525">
        <v>200</v>
      </c>
      <c r="J38" s="525">
        <v>200</v>
      </c>
      <c r="K38" s="525">
        <v>200</v>
      </c>
      <c r="L38" s="525">
        <v>200</v>
      </c>
      <c r="M38" s="525">
        <v>200</v>
      </c>
      <c r="N38" s="525">
        <v>200</v>
      </c>
      <c r="O38" s="525">
        <v>200</v>
      </c>
      <c r="P38" s="525">
        <v>200</v>
      </c>
      <c r="Q38" s="525">
        <v>200</v>
      </c>
      <c r="R38" s="525">
        <v>0</v>
      </c>
      <c r="S38" s="521">
        <f t="shared" si="2"/>
        <v>2200</v>
      </c>
      <c r="T38" s="525">
        <v>200</v>
      </c>
      <c r="U38" s="525">
        <v>200</v>
      </c>
      <c r="V38" s="525">
        <v>200</v>
      </c>
      <c r="W38" s="525">
        <v>0</v>
      </c>
    </row>
    <row r="39" spans="1:23" s="501" customFormat="1" ht="12.75" customHeight="1" x14ac:dyDescent="0.25">
      <c r="A39" s="530">
        <v>2531</v>
      </c>
      <c r="B39" s="729" t="s">
        <v>1189</v>
      </c>
      <c r="C39" s="730"/>
      <c r="D39" s="524">
        <f>+E39+F39+G39+H39+I39+J39+K39+M39+T39+U39+V39+W39</f>
        <v>3000</v>
      </c>
      <c r="E39" s="525">
        <v>0</v>
      </c>
      <c r="F39" s="525">
        <v>0</v>
      </c>
      <c r="G39" s="525">
        <v>0</v>
      </c>
      <c r="H39" s="525">
        <v>0</v>
      </c>
      <c r="I39" s="525">
        <v>1000</v>
      </c>
      <c r="J39" s="525">
        <v>0</v>
      </c>
      <c r="K39" s="525">
        <v>0</v>
      </c>
      <c r="L39" s="525">
        <v>0</v>
      </c>
      <c r="M39" s="525">
        <v>1000</v>
      </c>
      <c r="N39" s="525">
        <v>0</v>
      </c>
      <c r="O39" s="525">
        <v>1000</v>
      </c>
      <c r="P39" s="525">
        <v>0</v>
      </c>
      <c r="Q39" s="525">
        <v>0</v>
      </c>
      <c r="R39" s="525">
        <v>0</v>
      </c>
      <c r="S39" s="521">
        <f t="shared" si="2"/>
        <v>3000</v>
      </c>
      <c r="T39" s="525">
        <v>1000</v>
      </c>
      <c r="U39" s="525">
        <v>0</v>
      </c>
      <c r="V39" s="525">
        <v>0</v>
      </c>
      <c r="W39" s="525">
        <v>0</v>
      </c>
    </row>
    <row r="40" spans="1:23" s="501" customFormat="1" ht="12.75" customHeight="1" x14ac:dyDescent="0.25">
      <c r="A40" s="530"/>
      <c r="B40" s="527"/>
      <c r="C40" s="528"/>
      <c r="D40" s="524"/>
      <c r="E40" s="525"/>
      <c r="F40" s="525"/>
      <c r="G40" s="525"/>
      <c r="H40" s="525"/>
      <c r="I40" s="525"/>
      <c r="J40" s="525"/>
      <c r="K40" s="525"/>
      <c r="L40" s="525"/>
      <c r="M40" s="525"/>
      <c r="N40" s="525"/>
      <c r="O40" s="525"/>
      <c r="P40" s="525"/>
      <c r="Q40" s="525"/>
      <c r="R40" s="525"/>
      <c r="S40" s="521">
        <f t="shared" si="2"/>
        <v>0</v>
      </c>
      <c r="T40" s="525"/>
      <c r="U40" s="525"/>
      <c r="V40" s="525"/>
      <c r="W40" s="525"/>
    </row>
    <row r="41" spans="1:23" s="501" customFormat="1" ht="12.75" customHeight="1" x14ac:dyDescent="0.25">
      <c r="A41" s="530">
        <v>2611</v>
      </c>
      <c r="B41" s="723" t="s">
        <v>1190</v>
      </c>
      <c r="C41" s="724"/>
      <c r="D41" s="524">
        <f>+E41+F41+G41+H41+I41+J41+K41+M41+T41+U41+V41+W41</f>
        <v>157277.22</v>
      </c>
      <c r="E41" s="525">
        <v>7958.02</v>
      </c>
      <c r="F41" s="525">
        <v>9319.2000000000007</v>
      </c>
      <c r="G41" s="525">
        <v>15000</v>
      </c>
      <c r="H41" s="525">
        <v>10000</v>
      </c>
      <c r="I41" s="525">
        <v>15000</v>
      </c>
      <c r="J41" s="525">
        <v>15000</v>
      </c>
      <c r="K41" s="525">
        <v>15000</v>
      </c>
      <c r="L41" s="525">
        <v>10000</v>
      </c>
      <c r="M41" s="525">
        <v>15000</v>
      </c>
      <c r="N41" s="525">
        <v>15000</v>
      </c>
      <c r="O41" s="525">
        <v>15000</v>
      </c>
      <c r="P41" s="525">
        <v>15000</v>
      </c>
      <c r="Q41" s="525">
        <v>15000</v>
      </c>
      <c r="R41" s="525">
        <v>10000</v>
      </c>
      <c r="S41" s="521">
        <f t="shared" si="2"/>
        <v>182277.22</v>
      </c>
      <c r="T41" s="525">
        <v>15000</v>
      </c>
      <c r="U41" s="525">
        <v>15000</v>
      </c>
      <c r="V41" s="525">
        <v>15000</v>
      </c>
      <c r="W41" s="525">
        <v>10000</v>
      </c>
    </row>
    <row r="42" spans="1:23" s="501" customFormat="1" ht="12.75" customHeight="1" x14ac:dyDescent="0.25">
      <c r="A42" s="530"/>
      <c r="B42" s="531"/>
      <c r="C42" s="532"/>
      <c r="D42" s="529">
        <f>SUM(D43:D45)</f>
        <v>9000</v>
      </c>
      <c r="E42" s="529">
        <f t="shared" ref="E42:W42" si="18">SUM(E43:E45)</f>
        <v>0</v>
      </c>
      <c r="F42" s="529">
        <f t="shared" si="18"/>
        <v>0</v>
      </c>
      <c r="G42" s="529">
        <f t="shared" si="18"/>
        <v>9000</v>
      </c>
      <c r="H42" s="529">
        <f t="shared" si="18"/>
        <v>0</v>
      </c>
      <c r="I42" s="529">
        <f t="shared" si="18"/>
        <v>0</v>
      </c>
      <c r="J42" s="529">
        <f t="shared" si="18"/>
        <v>0</v>
      </c>
      <c r="K42" s="529">
        <f t="shared" si="18"/>
        <v>0</v>
      </c>
      <c r="L42" s="529">
        <f t="shared" ref="L42:R42" si="19">SUM(L43:L45)</f>
        <v>5000</v>
      </c>
      <c r="M42" s="529">
        <f t="shared" si="19"/>
        <v>0</v>
      </c>
      <c r="N42" s="529">
        <f t="shared" si="19"/>
        <v>0</v>
      </c>
      <c r="O42" s="529">
        <f t="shared" si="19"/>
        <v>0</v>
      </c>
      <c r="P42" s="529">
        <f t="shared" si="19"/>
        <v>0</v>
      </c>
      <c r="Q42" s="529">
        <f t="shared" si="19"/>
        <v>0</v>
      </c>
      <c r="R42" s="529">
        <f t="shared" si="19"/>
        <v>0</v>
      </c>
      <c r="S42" s="521">
        <f t="shared" si="2"/>
        <v>14000</v>
      </c>
      <c r="T42" s="529">
        <f t="shared" si="18"/>
        <v>0</v>
      </c>
      <c r="U42" s="529">
        <f t="shared" si="18"/>
        <v>0</v>
      </c>
      <c r="V42" s="529">
        <f t="shared" si="18"/>
        <v>0</v>
      </c>
      <c r="W42" s="529">
        <f t="shared" si="18"/>
        <v>0</v>
      </c>
    </row>
    <row r="43" spans="1:23" s="501" customFormat="1" ht="12.75" customHeight="1" x14ac:dyDescent="0.25">
      <c r="A43" s="530">
        <v>2711</v>
      </c>
      <c r="B43" s="723" t="s">
        <v>1191</v>
      </c>
      <c r="C43" s="724"/>
      <c r="D43" s="524">
        <f>+E43+F43+G43+H43+I43+J43+K43+M43+T43+U43+V43+W43</f>
        <v>1000</v>
      </c>
      <c r="E43" s="525">
        <v>0</v>
      </c>
      <c r="F43" s="525">
        <v>0</v>
      </c>
      <c r="G43" s="525">
        <v>1000</v>
      </c>
      <c r="H43" s="525">
        <v>0</v>
      </c>
      <c r="I43" s="525">
        <v>0</v>
      </c>
      <c r="J43" s="525">
        <v>0</v>
      </c>
      <c r="K43" s="525">
        <v>0</v>
      </c>
      <c r="L43" s="525">
        <v>0</v>
      </c>
      <c r="M43" s="525">
        <v>0</v>
      </c>
      <c r="N43" s="525">
        <v>0</v>
      </c>
      <c r="O43" s="525">
        <v>0</v>
      </c>
      <c r="P43" s="525">
        <v>0</v>
      </c>
      <c r="Q43" s="525">
        <v>0</v>
      </c>
      <c r="R43" s="525">
        <v>0</v>
      </c>
      <c r="S43" s="521">
        <f t="shared" si="2"/>
        <v>1000</v>
      </c>
      <c r="T43" s="525">
        <v>0</v>
      </c>
      <c r="U43" s="525">
        <v>0</v>
      </c>
      <c r="V43" s="525">
        <v>0</v>
      </c>
      <c r="W43" s="525">
        <v>0</v>
      </c>
    </row>
    <row r="44" spans="1:23" s="501" customFormat="1" ht="12.75" customHeight="1" x14ac:dyDescent="0.25">
      <c r="A44" s="530">
        <v>2721</v>
      </c>
      <c r="B44" s="729" t="s">
        <v>1192</v>
      </c>
      <c r="C44" s="730"/>
      <c r="D44" s="524">
        <f>+E44+F44+G44+H44+I44+J44+K44+M44+T44+U44+V44+W44</f>
        <v>3000</v>
      </c>
      <c r="E44" s="525">
        <v>0</v>
      </c>
      <c r="F44" s="525">
        <v>0</v>
      </c>
      <c r="G44" s="525">
        <v>3000</v>
      </c>
      <c r="H44" s="525">
        <v>0</v>
      </c>
      <c r="I44" s="525">
        <v>0</v>
      </c>
      <c r="J44" s="525">
        <v>0</v>
      </c>
      <c r="K44" s="525">
        <v>0</v>
      </c>
      <c r="L44" s="525">
        <v>0</v>
      </c>
      <c r="M44" s="525">
        <v>0</v>
      </c>
      <c r="N44" s="525">
        <v>0</v>
      </c>
      <c r="O44" s="525">
        <v>0</v>
      </c>
      <c r="P44" s="525">
        <v>0</v>
      </c>
      <c r="Q44" s="525">
        <v>0</v>
      </c>
      <c r="R44" s="525">
        <v>0</v>
      </c>
      <c r="S44" s="521">
        <f t="shared" si="2"/>
        <v>3000</v>
      </c>
      <c r="T44" s="525">
        <v>0</v>
      </c>
      <c r="U44" s="525">
        <v>0</v>
      </c>
      <c r="V44" s="525">
        <v>0</v>
      </c>
      <c r="W44" s="525">
        <v>0</v>
      </c>
    </row>
    <row r="45" spans="1:23" s="501" customFormat="1" ht="12.75" customHeight="1" x14ac:dyDescent="0.25">
      <c r="A45" s="530">
        <v>2751</v>
      </c>
      <c r="B45" s="729" t="s">
        <v>1193</v>
      </c>
      <c r="C45" s="730"/>
      <c r="D45" s="524">
        <f>+E45+F45+G45+H45+I45+J45+K45+M45+T45+U45+V45+W45</f>
        <v>5000</v>
      </c>
      <c r="E45" s="525">
        <v>0</v>
      </c>
      <c r="F45" s="525">
        <v>0</v>
      </c>
      <c r="G45" s="525">
        <v>5000</v>
      </c>
      <c r="H45" s="525">
        <v>0</v>
      </c>
      <c r="I45" s="525">
        <v>0</v>
      </c>
      <c r="J45" s="525">
        <v>0</v>
      </c>
      <c r="K45" s="525">
        <v>0</v>
      </c>
      <c r="L45" s="525">
        <v>5000</v>
      </c>
      <c r="M45" s="525">
        <v>0</v>
      </c>
      <c r="N45" s="525">
        <v>0</v>
      </c>
      <c r="O45" s="525">
        <v>0</v>
      </c>
      <c r="P45" s="525">
        <v>0</v>
      </c>
      <c r="Q45" s="525">
        <v>0</v>
      </c>
      <c r="R45" s="525">
        <v>0</v>
      </c>
      <c r="S45" s="521">
        <f t="shared" si="2"/>
        <v>10000</v>
      </c>
      <c r="T45" s="525">
        <v>0</v>
      </c>
      <c r="U45" s="525">
        <v>0</v>
      </c>
      <c r="V45" s="525">
        <v>0</v>
      </c>
      <c r="W45" s="525">
        <v>0</v>
      </c>
    </row>
    <row r="46" spans="1:23" s="501" customFormat="1" ht="12.75" customHeight="1" x14ac:dyDescent="0.25">
      <c r="A46" s="530"/>
      <c r="B46" s="527"/>
      <c r="C46" s="528"/>
      <c r="D46" s="529">
        <f>SUM(D47:D50)</f>
        <v>20000</v>
      </c>
      <c r="E46" s="529">
        <f t="shared" ref="E46:W46" si="20">SUM(E47:E50)</f>
        <v>0</v>
      </c>
      <c r="F46" s="529">
        <f t="shared" si="20"/>
        <v>0</v>
      </c>
      <c r="G46" s="529">
        <f t="shared" si="20"/>
        <v>2500</v>
      </c>
      <c r="H46" s="529">
        <f t="shared" si="20"/>
        <v>1500</v>
      </c>
      <c r="I46" s="529">
        <f t="shared" si="20"/>
        <v>1500</v>
      </c>
      <c r="J46" s="529">
        <f t="shared" si="20"/>
        <v>2500</v>
      </c>
      <c r="K46" s="529">
        <f t="shared" si="20"/>
        <v>2500</v>
      </c>
      <c r="L46" s="529">
        <f t="shared" ref="L46:R46" si="21">SUM(L47:L50)</f>
        <v>1500</v>
      </c>
      <c r="M46" s="529">
        <f t="shared" si="21"/>
        <v>2500</v>
      </c>
      <c r="N46" s="529">
        <f t="shared" si="21"/>
        <v>2500</v>
      </c>
      <c r="O46" s="529">
        <f t="shared" si="21"/>
        <v>2500</v>
      </c>
      <c r="P46" s="529">
        <f t="shared" si="21"/>
        <v>2500</v>
      </c>
      <c r="Q46" s="529">
        <f t="shared" si="21"/>
        <v>1000</v>
      </c>
      <c r="R46" s="529">
        <f t="shared" si="21"/>
        <v>1000</v>
      </c>
      <c r="S46" s="521">
        <f t="shared" si="2"/>
        <v>24000</v>
      </c>
      <c r="T46" s="529">
        <f t="shared" si="20"/>
        <v>2500</v>
      </c>
      <c r="U46" s="529">
        <f t="shared" si="20"/>
        <v>2500</v>
      </c>
      <c r="V46" s="529">
        <f t="shared" si="20"/>
        <v>1000</v>
      </c>
      <c r="W46" s="529">
        <f t="shared" si="20"/>
        <v>1000</v>
      </c>
    </row>
    <row r="47" spans="1:23" s="501" customFormat="1" ht="12.75" customHeight="1" x14ac:dyDescent="0.25">
      <c r="A47" s="530">
        <v>2911</v>
      </c>
      <c r="B47" s="723" t="s">
        <v>1194</v>
      </c>
      <c r="C47" s="724"/>
      <c r="D47" s="524">
        <f>+E47+F47+G47+H47+I47+J47+K47+M47+T47+U47+V47+W47</f>
        <v>4000</v>
      </c>
      <c r="E47" s="525">
        <v>0</v>
      </c>
      <c r="F47" s="525">
        <v>0</v>
      </c>
      <c r="G47" s="525">
        <v>500</v>
      </c>
      <c r="H47" s="525">
        <v>500</v>
      </c>
      <c r="I47" s="525">
        <v>500</v>
      </c>
      <c r="J47" s="525">
        <v>500</v>
      </c>
      <c r="K47" s="525">
        <v>500</v>
      </c>
      <c r="L47" s="525">
        <v>500</v>
      </c>
      <c r="M47" s="525">
        <v>500</v>
      </c>
      <c r="N47" s="525">
        <v>500</v>
      </c>
      <c r="O47" s="525">
        <v>500</v>
      </c>
      <c r="P47" s="525">
        <v>500</v>
      </c>
      <c r="Q47" s="525">
        <v>0</v>
      </c>
      <c r="R47" s="525">
        <v>0</v>
      </c>
      <c r="S47" s="521">
        <f t="shared" si="2"/>
        <v>5000</v>
      </c>
      <c r="T47" s="525">
        <v>500</v>
      </c>
      <c r="U47" s="525">
        <v>500</v>
      </c>
      <c r="V47" s="525">
        <v>0</v>
      </c>
      <c r="W47" s="525">
        <v>0</v>
      </c>
    </row>
    <row r="48" spans="1:23" s="501" customFormat="1" ht="18.75" customHeight="1" x14ac:dyDescent="0.25">
      <c r="A48" s="530">
        <v>2931</v>
      </c>
      <c r="B48" s="723" t="s">
        <v>1195</v>
      </c>
      <c r="C48" s="724"/>
      <c r="D48" s="524">
        <f>+E48+F48+G48+H48+I48+J48+K48+M48+T48+U48+V48+W48</f>
        <v>4000</v>
      </c>
      <c r="E48" s="525">
        <v>0</v>
      </c>
      <c r="F48" s="525">
        <v>0</v>
      </c>
      <c r="G48" s="525">
        <v>1000</v>
      </c>
      <c r="H48" s="525">
        <v>0</v>
      </c>
      <c r="I48" s="525">
        <v>0</v>
      </c>
      <c r="J48" s="525">
        <v>1000</v>
      </c>
      <c r="K48" s="525">
        <v>0</v>
      </c>
      <c r="L48" s="525">
        <v>0</v>
      </c>
      <c r="M48" s="525">
        <v>1000</v>
      </c>
      <c r="N48" s="525">
        <v>0</v>
      </c>
      <c r="O48" s="525">
        <v>1000</v>
      </c>
      <c r="P48" s="525">
        <v>0</v>
      </c>
      <c r="Q48" s="525">
        <v>0</v>
      </c>
      <c r="R48" s="525">
        <v>0</v>
      </c>
      <c r="S48" s="521">
        <f t="shared" si="2"/>
        <v>4000</v>
      </c>
      <c r="T48" s="525">
        <v>1000</v>
      </c>
      <c r="U48" s="525">
        <v>0</v>
      </c>
      <c r="V48" s="525">
        <v>0</v>
      </c>
      <c r="W48" s="525">
        <v>0</v>
      </c>
    </row>
    <row r="49" spans="1:23" s="501" customFormat="1" ht="16.5" customHeight="1" x14ac:dyDescent="0.25">
      <c r="A49" s="530">
        <v>2941</v>
      </c>
      <c r="B49" s="723" t="s">
        <v>1196</v>
      </c>
      <c r="C49" s="724"/>
      <c r="D49" s="524">
        <f>+E49+F49+G49+H49+I49+J49+K49+M49+T49+U49+V49+W49</f>
        <v>10000</v>
      </c>
      <c r="E49" s="525">
        <v>0</v>
      </c>
      <c r="F49" s="525">
        <v>0</v>
      </c>
      <c r="G49" s="525">
        <v>1000</v>
      </c>
      <c r="H49" s="525">
        <v>1000</v>
      </c>
      <c r="I49" s="525">
        <v>1000</v>
      </c>
      <c r="J49" s="525">
        <v>1000</v>
      </c>
      <c r="K49" s="525">
        <v>1000</v>
      </c>
      <c r="L49" s="525">
        <v>1000</v>
      </c>
      <c r="M49" s="525">
        <v>1000</v>
      </c>
      <c r="N49" s="525">
        <v>1000</v>
      </c>
      <c r="O49" s="525">
        <v>1000</v>
      </c>
      <c r="P49" s="525">
        <v>1000</v>
      </c>
      <c r="Q49" s="525">
        <v>1000</v>
      </c>
      <c r="R49" s="525">
        <v>1000</v>
      </c>
      <c r="S49" s="521">
        <f t="shared" si="2"/>
        <v>12000</v>
      </c>
      <c r="T49" s="525">
        <v>1000</v>
      </c>
      <c r="U49" s="525">
        <v>1000</v>
      </c>
      <c r="V49" s="525">
        <v>1000</v>
      </c>
      <c r="W49" s="525">
        <v>1000</v>
      </c>
    </row>
    <row r="50" spans="1:23" s="501" customFormat="1" ht="12.75" customHeight="1" x14ac:dyDescent="0.25">
      <c r="A50" s="530">
        <v>2961</v>
      </c>
      <c r="B50" s="723" t="s">
        <v>1197</v>
      </c>
      <c r="C50" s="724"/>
      <c r="D50" s="524">
        <f>+E50+F50+G50+H50+I50+J50+K50+M50+T50+U50+V50+W50</f>
        <v>2000</v>
      </c>
      <c r="E50" s="525">
        <v>0</v>
      </c>
      <c r="F50" s="525">
        <v>0</v>
      </c>
      <c r="G50" s="525">
        <v>0</v>
      </c>
      <c r="H50" s="525">
        <v>0</v>
      </c>
      <c r="I50" s="525">
        <v>0</v>
      </c>
      <c r="J50" s="525">
        <v>0</v>
      </c>
      <c r="K50" s="525">
        <v>1000</v>
      </c>
      <c r="L50" s="525">
        <v>0</v>
      </c>
      <c r="M50" s="525">
        <v>0</v>
      </c>
      <c r="N50" s="525">
        <v>1000</v>
      </c>
      <c r="O50" s="525">
        <v>0</v>
      </c>
      <c r="P50" s="525">
        <v>1000</v>
      </c>
      <c r="Q50" s="525">
        <v>0</v>
      </c>
      <c r="R50" s="525">
        <v>0</v>
      </c>
      <c r="S50" s="521">
        <f t="shared" si="2"/>
        <v>3000</v>
      </c>
      <c r="T50" s="525">
        <v>0</v>
      </c>
      <c r="U50" s="525">
        <v>1000</v>
      </c>
      <c r="V50" s="525">
        <v>0</v>
      </c>
      <c r="W50" s="525">
        <v>0</v>
      </c>
    </row>
    <row r="51" spans="1:23" s="501" customFormat="1" ht="12.75" customHeight="1" x14ac:dyDescent="0.25">
      <c r="A51" s="530"/>
      <c r="B51" s="531"/>
      <c r="C51" s="532"/>
      <c r="D51" s="529">
        <f>+D52+D61+D62+D70+D75+D81+D82+D89+D95</f>
        <v>3824994.71</v>
      </c>
      <c r="E51" s="529">
        <f t="shared" ref="E51:W51" si="22">+E52+E61+E62+E70+E75+E81+E82+E89+E95</f>
        <v>258325.89000000004</v>
      </c>
      <c r="F51" s="529">
        <f t="shared" si="22"/>
        <v>224617.38</v>
      </c>
      <c r="G51" s="529">
        <f t="shared" si="22"/>
        <v>467306.15</v>
      </c>
      <c r="H51" s="529">
        <f t="shared" si="22"/>
        <v>280860.59000000003</v>
      </c>
      <c r="I51" s="529">
        <f t="shared" si="22"/>
        <v>334860.59000000003</v>
      </c>
      <c r="J51" s="529">
        <f t="shared" si="22"/>
        <v>380860.59</v>
      </c>
      <c r="K51" s="529">
        <f t="shared" si="22"/>
        <v>305860.59000000003</v>
      </c>
      <c r="L51" s="529">
        <f t="shared" ref="L51:R51" si="23">+L52+L61+L62+L70+L75+L81+L82+L89+L95</f>
        <v>311460.59000000003</v>
      </c>
      <c r="M51" s="529">
        <f t="shared" si="23"/>
        <v>307860.59000000003</v>
      </c>
      <c r="N51" s="529">
        <f t="shared" si="23"/>
        <v>305860.59000000003</v>
      </c>
      <c r="O51" s="529">
        <f t="shared" si="23"/>
        <v>307860.59000000003</v>
      </c>
      <c r="P51" s="529">
        <f t="shared" si="23"/>
        <v>305860.59000000003</v>
      </c>
      <c r="Q51" s="529">
        <f t="shared" si="23"/>
        <v>307860.59000000003</v>
      </c>
      <c r="R51" s="529">
        <f t="shared" si="23"/>
        <v>342860.57</v>
      </c>
      <c r="S51" s="521">
        <f t="shared" si="2"/>
        <v>4442315.8899999997</v>
      </c>
      <c r="T51" s="529">
        <f t="shared" si="22"/>
        <v>307860.59000000003</v>
      </c>
      <c r="U51" s="529">
        <f t="shared" si="22"/>
        <v>305860.59000000003</v>
      </c>
      <c r="V51" s="529">
        <f t="shared" si="22"/>
        <v>307860.59000000003</v>
      </c>
      <c r="W51" s="529">
        <f t="shared" si="22"/>
        <v>342860.57</v>
      </c>
    </row>
    <row r="52" spans="1:23" s="501" customFormat="1" ht="12.75" customHeight="1" x14ac:dyDescent="0.25">
      <c r="A52" s="530"/>
      <c r="B52" s="531"/>
      <c r="C52" s="532"/>
      <c r="D52" s="529">
        <f>SUM(D53:D59)</f>
        <v>405273.83</v>
      </c>
      <c r="E52" s="529">
        <f t="shared" ref="E52:W52" si="24">SUM(E53:E59)</f>
        <v>55352.32</v>
      </c>
      <c r="F52" s="529">
        <f t="shared" si="24"/>
        <v>14921.51</v>
      </c>
      <c r="G52" s="529">
        <f t="shared" si="24"/>
        <v>44300</v>
      </c>
      <c r="H52" s="529">
        <f t="shared" si="24"/>
        <v>17300</v>
      </c>
      <c r="I52" s="529">
        <f t="shared" si="24"/>
        <v>44300</v>
      </c>
      <c r="J52" s="529">
        <f t="shared" si="24"/>
        <v>17300</v>
      </c>
      <c r="K52" s="529">
        <f t="shared" si="24"/>
        <v>44300</v>
      </c>
      <c r="L52" s="529">
        <f t="shared" ref="L52:R52" si="25">SUM(L53:L59)</f>
        <v>17300</v>
      </c>
      <c r="M52" s="529">
        <f t="shared" si="25"/>
        <v>44300</v>
      </c>
      <c r="N52" s="529">
        <f t="shared" si="25"/>
        <v>17300</v>
      </c>
      <c r="O52" s="529">
        <f t="shared" si="25"/>
        <v>44300</v>
      </c>
      <c r="P52" s="529">
        <f t="shared" si="25"/>
        <v>17300</v>
      </c>
      <c r="Q52" s="529">
        <f t="shared" si="25"/>
        <v>44300</v>
      </c>
      <c r="R52" s="529">
        <f t="shared" si="25"/>
        <v>17300</v>
      </c>
      <c r="S52" s="521">
        <f t="shared" si="2"/>
        <v>439873.83</v>
      </c>
      <c r="T52" s="529">
        <f t="shared" si="24"/>
        <v>44300</v>
      </c>
      <c r="U52" s="529">
        <f t="shared" si="24"/>
        <v>17300</v>
      </c>
      <c r="V52" s="529">
        <f t="shared" si="24"/>
        <v>44300</v>
      </c>
      <c r="W52" s="529">
        <f t="shared" si="24"/>
        <v>17300</v>
      </c>
    </row>
    <row r="53" spans="1:23" s="501" customFormat="1" ht="12.75" customHeight="1" x14ac:dyDescent="0.25">
      <c r="A53" s="530">
        <v>3111</v>
      </c>
      <c r="B53" s="723" t="s">
        <v>1198</v>
      </c>
      <c r="C53" s="724"/>
      <c r="D53" s="524">
        <f t="shared" ref="D53:D59" si="26">+E53+F53+G53+H53+I53+J53+K53+M53+T53+U53+V53+W53</f>
        <v>188025</v>
      </c>
      <c r="E53" s="525">
        <v>26025</v>
      </c>
      <c r="F53" s="525">
        <v>0</v>
      </c>
      <c r="G53" s="525">
        <v>27000</v>
      </c>
      <c r="H53" s="525">
        <v>0</v>
      </c>
      <c r="I53" s="525">
        <v>27000</v>
      </c>
      <c r="J53" s="525">
        <v>0</v>
      </c>
      <c r="K53" s="525">
        <v>27000</v>
      </c>
      <c r="L53" s="525">
        <v>0</v>
      </c>
      <c r="M53" s="525">
        <v>27000</v>
      </c>
      <c r="N53" s="525">
        <v>0</v>
      </c>
      <c r="O53" s="525">
        <v>27000</v>
      </c>
      <c r="P53" s="525">
        <v>0</v>
      </c>
      <c r="Q53" s="525">
        <v>27000</v>
      </c>
      <c r="R53" s="525">
        <v>0</v>
      </c>
      <c r="S53" s="521">
        <f t="shared" si="2"/>
        <v>188025</v>
      </c>
      <c r="T53" s="525">
        <v>27000</v>
      </c>
      <c r="U53" s="525">
        <v>0</v>
      </c>
      <c r="V53" s="525">
        <v>27000</v>
      </c>
      <c r="W53" s="525">
        <v>0</v>
      </c>
    </row>
    <row r="54" spans="1:23" s="501" customFormat="1" ht="12.75" customHeight="1" x14ac:dyDescent="0.25">
      <c r="A54" s="530">
        <v>3131</v>
      </c>
      <c r="B54" s="723" t="s">
        <v>1199</v>
      </c>
      <c r="C54" s="724"/>
      <c r="D54" s="524">
        <f t="shared" si="26"/>
        <v>10296</v>
      </c>
      <c r="E54" s="525">
        <v>10296</v>
      </c>
      <c r="F54" s="525">
        <v>0</v>
      </c>
      <c r="G54" s="525">
        <v>0</v>
      </c>
      <c r="H54" s="525">
        <v>0</v>
      </c>
      <c r="I54" s="525">
        <v>0</v>
      </c>
      <c r="J54" s="525">
        <v>0</v>
      </c>
      <c r="K54" s="525">
        <v>0</v>
      </c>
      <c r="L54" s="525">
        <v>0</v>
      </c>
      <c r="M54" s="525">
        <v>0</v>
      </c>
      <c r="N54" s="525">
        <v>0</v>
      </c>
      <c r="O54" s="525">
        <v>0</v>
      </c>
      <c r="P54" s="525">
        <v>0</v>
      </c>
      <c r="Q54" s="525">
        <v>0</v>
      </c>
      <c r="R54" s="525">
        <v>0</v>
      </c>
      <c r="S54" s="521">
        <f t="shared" si="2"/>
        <v>10296</v>
      </c>
      <c r="T54" s="525">
        <v>0</v>
      </c>
      <c r="U54" s="525">
        <v>0</v>
      </c>
      <c r="V54" s="525">
        <v>0</v>
      </c>
      <c r="W54" s="525">
        <v>0</v>
      </c>
    </row>
    <row r="55" spans="1:23" s="501" customFormat="1" ht="12.75" customHeight="1" x14ac:dyDescent="0.25">
      <c r="A55" s="530">
        <v>3141</v>
      </c>
      <c r="B55" s="723" t="s">
        <v>1200</v>
      </c>
      <c r="C55" s="724"/>
      <c r="D55" s="524">
        <f t="shared" si="26"/>
        <v>145374</v>
      </c>
      <c r="E55" s="525">
        <v>12987</v>
      </c>
      <c r="F55" s="525">
        <v>12387</v>
      </c>
      <c r="G55" s="525">
        <v>12000</v>
      </c>
      <c r="H55" s="525">
        <v>12000</v>
      </c>
      <c r="I55" s="525">
        <v>12000</v>
      </c>
      <c r="J55" s="525">
        <v>12000</v>
      </c>
      <c r="K55" s="525">
        <v>12000</v>
      </c>
      <c r="L55" s="525">
        <v>12000</v>
      </c>
      <c r="M55" s="525">
        <v>12000</v>
      </c>
      <c r="N55" s="525">
        <v>12000</v>
      </c>
      <c r="O55" s="525">
        <v>12000</v>
      </c>
      <c r="P55" s="525">
        <v>12000</v>
      </c>
      <c r="Q55" s="525">
        <v>12000</v>
      </c>
      <c r="R55" s="525">
        <v>12000</v>
      </c>
      <c r="S55" s="521">
        <f t="shared" si="2"/>
        <v>169374</v>
      </c>
      <c r="T55" s="525">
        <v>12000</v>
      </c>
      <c r="U55" s="525">
        <v>12000</v>
      </c>
      <c r="V55" s="525">
        <v>12000</v>
      </c>
      <c r="W55" s="525">
        <v>12000</v>
      </c>
    </row>
    <row r="56" spans="1:23" s="501" customFormat="1" ht="12.75" customHeight="1" x14ac:dyDescent="0.25">
      <c r="A56" s="530">
        <v>3151</v>
      </c>
      <c r="B56" s="723" t="s">
        <v>1201</v>
      </c>
      <c r="C56" s="724"/>
      <c r="D56" s="524">
        <f t="shared" si="26"/>
        <v>30606</v>
      </c>
      <c r="E56" s="525">
        <v>2342</v>
      </c>
      <c r="F56" s="525">
        <v>2264</v>
      </c>
      <c r="G56" s="525">
        <v>2600</v>
      </c>
      <c r="H56" s="525">
        <v>2600</v>
      </c>
      <c r="I56" s="525">
        <v>2600</v>
      </c>
      <c r="J56" s="525">
        <v>2600</v>
      </c>
      <c r="K56" s="525">
        <v>2600</v>
      </c>
      <c r="L56" s="525">
        <v>2600</v>
      </c>
      <c r="M56" s="525">
        <v>2600</v>
      </c>
      <c r="N56" s="525">
        <v>2600</v>
      </c>
      <c r="O56" s="525">
        <v>2600</v>
      </c>
      <c r="P56" s="525">
        <v>2600</v>
      </c>
      <c r="Q56" s="525">
        <v>2600</v>
      </c>
      <c r="R56" s="525">
        <v>2600</v>
      </c>
      <c r="S56" s="521">
        <f t="shared" si="2"/>
        <v>35806</v>
      </c>
      <c r="T56" s="525">
        <v>2600</v>
      </c>
      <c r="U56" s="525">
        <v>2600</v>
      </c>
      <c r="V56" s="525">
        <v>2600</v>
      </c>
      <c r="W56" s="525">
        <v>2600</v>
      </c>
    </row>
    <row r="57" spans="1:23" s="501" customFormat="1" ht="12.75" customHeight="1" x14ac:dyDescent="0.25">
      <c r="A57" s="530">
        <v>3171</v>
      </c>
      <c r="B57" s="727" t="s">
        <v>1202</v>
      </c>
      <c r="C57" s="728"/>
      <c r="D57" s="524">
        <f t="shared" si="26"/>
        <v>20400</v>
      </c>
      <c r="E57" s="525">
        <v>3400</v>
      </c>
      <c r="F57" s="525">
        <v>0</v>
      </c>
      <c r="G57" s="525">
        <v>1700</v>
      </c>
      <c r="H57" s="525">
        <v>1700</v>
      </c>
      <c r="I57" s="525">
        <v>1700</v>
      </c>
      <c r="J57" s="525">
        <v>1700</v>
      </c>
      <c r="K57" s="525">
        <v>1700</v>
      </c>
      <c r="L57" s="525">
        <v>1700</v>
      </c>
      <c r="M57" s="525">
        <v>1700</v>
      </c>
      <c r="N57" s="525">
        <v>1700</v>
      </c>
      <c r="O57" s="525">
        <v>1700</v>
      </c>
      <c r="P57" s="525">
        <v>1700</v>
      </c>
      <c r="Q57" s="525">
        <v>1700</v>
      </c>
      <c r="R57" s="525">
        <v>1700</v>
      </c>
      <c r="S57" s="521">
        <f t="shared" si="2"/>
        <v>23800</v>
      </c>
      <c r="T57" s="525">
        <v>1700</v>
      </c>
      <c r="U57" s="525">
        <v>1700</v>
      </c>
      <c r="V57" s="525">
        <v>1700</v>
      </c>
      <c r="W57" s="525">
        <v>1700</v>
      </c>
    </row>
    <row r="58" spans="1:23" s="501" customFormat="1" ht="12.75" customHeight="1" x14ac:dyDescent="0.25">
      <c r="A58" s="530">
        <v>3181</v>
      </c>
      <c r="B58" s="723" t="s">
        <v>1203</v>
      </c>
      <c r="C58" s="724"/>
      <c r="D58" s="524">
        <f t="shared" si="26"/>
        <v>10572.83</v>
      </c>
      <c r="E58" s="525">
        <v>302.32</v>
      </c>
      <c r="F58" s="525">
        <v>270.51</v>
      </c>
      <c r="G58" s="525">
        <v>1000</v>
      </c>
      <c r="H58" s="525">
        <v>1000</v>
      </c>
      <c r="I58" s="525">
        <v>1000</v>
      </c>
      <c r="J58" s="525">
        <v>1000</v>
      </c>
      <c r="K58" s="525">
        <v>1000</v>
      </c>
      <c r="L58" s="525">
        <v>1000</v>
      </c>
      <c r="M58" s="525">
        <v>1000</v>
      </c>
      <c r="N58" s="525">
        <v>1000</v>
      </c>
      <c r="O58" s="525">
        <v>1000</v>
      </c>
      <c r="P58" s="525">
        <v>1000</v>
      </c>
      <c r="Q58" s="525">
        <v>1000</v>
      </c>
      <c r="R58" s="525">
        <v>1000</v>
      </c>
      <c r="S58" s="521">
        <f t="shared" si="2"/>
        <v>12572.83</v>
      </c>
      <c r="T58" s="525">
        <v>1000</v>
      </c>
      <c r="U58" s="525">
        <v>1000</v>
      </c>
      <c r="V58" s="525">
        <v>1000</v>
      </c>
      <c r="W58" s="525">
        <v>1000</v>
      </c>
    </row>
    <row r="59" spans="1:23" s="501" customFormat="1" ht="12.75" customHeight="1" x14ac:dyDescent="0.25">
      <c r="A59" s="530">
        <v>3191</v>
      </c>
      <c r="B59" s="723" t="s">
        <v>1204</v>
      </c>
      <c r="C59" s="724"/>
      <c r="D59" s="524">
        <f t="shared" si="26"/>
        <v>0</v>
      </c>
      <c r="E59" s="525">
        <v>0</v>
      </c>
      <c r="F59" s="525">
        <v>0</v>
      </c>
      <c r="G59" s="525">
        <v>0</v>
      </c>
      <c r="H59" s="525">
        <v>0</v>
      </c>
      <c r="I59" s="525">
        <v>0</v>
      </c>
      <c r="J59" s="525">
        <v>0</v>
      </c>
      <c r="K59" s="525">
        <v>0</v>
      </c>
      <c r="L59" s="525">
        <v>0</v>
      </c>
      <c r="M59" s="525">
        <v>0</v>
      </c>
      <c r="N59" s="525">
        <v>0</v>
      </c>
      <c r="O59" s="525">
        <v>0</v>
      </c>
      <c r="P59" s="525">
        <v>0</v>
      </c>
      <c r="Q59" s="525">
        <v>0</v>
      </c>
      <c r="R59" s="525">
        <v>0</v>
      </c>
      <c r="S59" s="521">
        <f t="shared" si="2"/>
        <v>0</v>
      </c>
      <c r="T59" s="525">
        <v>0</v>
      </c>
      <c r="U59" s="525">
        <v>0</v>
      </c>
      <c r="V59" s="525">
        <v>0</v>
      </c>
      <c r="W59" s="525">
        <v>0</v>
      </c>
    </row>
    <row r="60" spans="1:23" s="501" customFormat="1" ht="12.75" customHeight="1" x14ac:dyDescent="0.25">
      <c r="A60" s="530"/>
      <c r="B60" s="531"/>
      <c r="C60" s="532"/>
      <c r="D60" s="524"/>
      <c r="E60" s="525"/>
      <c r="F60" s="525"/>
      <c r="G60" s="525"/>
      <c r="H60" s="525"/>
      <c r="I60" s="525"/>
      <c r="J60" s="525"/>
      <c r="K60" s="525"/>
      <c r="L60" s="525"/>
      <c r="M60" s="525"/>
      <c r="N60" s="525"/>
      <c r="O60" s="525"/>
      <c r="P60" s="525"/>
      <c r="Q60" s="525"/>
      <c r="R60" s="525"/>
      <c r="S60" s="521">
        <f t="shared" si="2"/>
        <v>0</v>
      </c>
      <c r="T60" s="525"/>
      <c r="U60" s="525"/>
      <c r="V60" s="525"/>
      <c r="W60" s="525"/>
    </row>
    <row r="61" spans="1:23" s="501" customFormat="1" ht="12.75" customHeight="1" x14ac:dyDescent="0.25">
      <c r="A61" s="530">
        <v>3221</v>
      </c>
      <c r="B61" s="723" t="s">
        <v>1205</v>
      </c>
      <c r="C61" s="724"/>
      <c r="D61" s="524">
        <f>+E61+F61+G61+H61+I61+J61+K61+M61+T61+U61+V61+W61</f>
        <v>43200</v>
      </c>
      <c r="E61" s="525">
        <v>3600</v>
      </c>
      <c r="F61" s="525">
        <v>3600</v>
      </c>
      <c r="G61" s="525">
        <v>3600</v>
      </c>
      <c r="H61" s="525">
        <v>3600</v>
      </c>
      <c r="I61" s="525">
        <v>3600</v>
      </c>
      <c r="J61" s="525">
        <v>3600</v>
      </c>
      <c r="K61" s="525">
        <v>3600</v>
      </c>
      <c r="L61" s="525">
        <v>3600</v>
      </c>
      <c r="M61" s="525">
        <v>3600</v>
      </c>
      <c r="N61" s="525">
        <v>3600</v>
      </c>
      <c r="O61" s="525">
        <v>3600</v>
      </c>
      <c r="P61" s="525">
        <v>3600</v>
      </c>
      <c r="Q61" s="525">
        <v>3600</v>
      </c>
      <c r="R61" s="525">
        <v>3600</v>
      </c>
      <c r="S61" s="521">
        <f t="shared" si="2"/>
        <v>50400</v>
      </c>
      <c r="T61" s="525">
        <v>3600</v>
      </c>
      <c r="U61" s="525">
        <v>3600</v>
      </c>
      <c r="V61" s="525">
        <v>3600</v>
      </c>
      <c r="W61" s="525">
        <v>3600</v>
      </c>
    </row>
    <row r="62" spans="1:23" s="501" customFormat="1" ht="12.75" customHeight="1" x14ac:dyDescent="0.25">
      <c r="A62" s="530"/>
      <c r="B62" s="531"/>
      <c r="C62" s="532"/>
      <c r="D62" s="529">
        <f>SUM(D63:D69)</f>
        <v>2574169.06</v>
      </c>
      <c r="E62" s="529">
        <f t="shared" ref="E62:W62" si="27">SUM(E63:E69)</f>
        <v>190641.59000000003</v>
      </c>
      <c r="F62" s="529">
        <f t="shared" si="27"/>
        <v>181521.59</v>
      </c>
      <c r="G62" s="529">
        <f t="shared" si="27"/>
        <v>345660.59</v>
      </c>
      <c r="H62" s="529">
        <f t="shared" si="27"/>
        <v>203260.59000000003</v>
      </c>
      <c r="I62" s="529">
        <f t="shared" si="27"/>
        <v>203260.59000000003</v>
      </c>
      <c r="J62" s="529">
        <f t="shared" si="27"/>
        <v>209260.59000000003</v>
      </c>
      <c r="K62" s="529">
        <f t="shared" si="27"/>
        <v>203260.59000000003</v>
      </c>
      <c r="L62" s="529">
        <f t="shared" ref="L62:R62" si="28">SUM(L63:L69)</f>
        <v>203260.59000000003</v>
      </c>
      <c r="M62" s="529">
        <f t="shared" si="28"/>
        <v>203260.59000000003</v>
      </c>
      <c r="N62" s="529">
        <f t="shared" si="28"/>
        <v>209260.59000000003</v>
      </c>
      <c r="O62" s="529">
        <f t="shared" si="28"/>
        <v>203260.59000000003</v>
      </c>
      <c r="P62" s="529">
        <f t="shared" si="28"/>
        <v>209260.59000000003</v>
      </c>
      <c r="Q62" s="529">
        <f t="shared" si="28"/>
        <v>203260.59000000003</v>
      </c>
      <c r="R62" s="529">
        <f t="shared" si="28"/>
        <v>218260.57</v>
      </c>
      <c r="S62" s="521">
        <f t="shared" si="2"/>
        <v>2986690.2399999998</v>
      </c>
      <c r="T62" s="529">
        <f t="shared" si="27"/>
        <v>203260.59000000003</v>
      </c>
      <c r="U62" s="529">
        <f t="shared" si="27"/>
        <v>209260.59000000003</v>
      </c>
      <c r="V62" s="529">
        <f t="shared" si="27"/>
        <v>203260.59000000003</v>
      </c>
      <c r="W62" s="529">
        <f t="shared" si="27"/>
        <v>218260.57</v>
      </c>
    </row>
    <row r="63" spans="1:23" s="501" customFormat="1" ht="12.75" customHeight="1" x14ac:dyDescent="0.25">
      <c r="A63" s="530">
        <v>3311</v>
      </c>
      <c r="B63" s="723" t="s">
        <v>1206</v>
      </c>
      <c r="C63" s="724"/>
      <c r="D63" s="524">
        <f t="shared" ref="D63:D69" si="29">+E63+F63+G63+H63+I63+J63+K63+M63+T63+U63+V63+W63</f>
        <v>142400</v>
      </c>
      <c r="E63" s="525">
        <v>0</v>
      </c>
      <c r="F63" s="525">
        <v>0</v>
      </c>
      <c r="G63" s="525">
        <v>142400</v>
      </c>
      <c r="H63" s="525">
        <v>0</v>
      </c>
      <c r="I63" s="525">
        <v>0</v>
      </c>
      <c r="J63" s="525">
        <v>0</v>
      </c>
      <c r="K63" s="525">
        <v>0</v>
      </c>
      <c r="L63" s="525">
        <v>0</v>
      </c>
      <c r="M63" s="525">
        <v>0</v>
      </c>
      <c r="N63" s="525">
        <v>0</v>
      </c>
      <c r="O63" s="525">
        <v>0</v>
      </c>
      <c r="P63" s="525">
        <v>0</v>
      </c>
      <c r="Q63" s="525">
        <v>0</v>
      </c>
      <c r="R63" s="525">
        <v>0</v>
      </c>
      <c r="S63" s="521">
        <f t="shared" si="2"/>
        <v>142400</v>
      </c>
      <c r="T63" s="525">
        <v>0</v>
      </c>
      <c r="U63" s="525">
        <v>0</v>
      </c>
      <c r="V63" s="525">
        <v>0</v>
      </c>
      <c r="W63" s="525">
        <v>0</v>
      </c>
    </row>
    <row r="64" spans="1:23" s="501" customFormat="1" ht="18.75" customHeight="1" x14ac:dyDescent="0.25">
      <c r="A64" s="530">
        <v>3331</v>
      </c>
      <c r="B64" s="723" t="s">
        <v>1207</v>
      </c>
      <c r="C64" s="724"/>
      <c r="D64" s="524">
        <f t="shared" si="29"/>
        <v>195000.13</v>
      </c>
      <c r="E64" s="525">
        <v>15000.01</v>
      </c>
      <c r="F64" s="525">
        <v>15000.01</v>
      </c>
      <c r="G64" s="525">
        <v>15000.01</v>
      </c>
      <c r="H64" s="525">
        <v>15000.01</v>
      </c>
      <c r="I64" s="525">
        <v>15000.01</v>
      </c>
      <c r="J64" s="525">
        <v>15000.01</v>
      </c>
      <c r="K64" s="525">
        <v>15000.01</v>
      </c>
      <c r="L64" s="525">
        <v>15000.01</v>
      </c>
      <c r="M64" s="525">
        <v>15000.01</v>
      </c>
      <c r="N64" s="525">
        <v>15000.01</v>
      </c>
      <c r="O64" s="525">
        <v>15000.01</v>
      </c>
      <c r="P64" s="525">
        <v>15000.01</v>
      </c>
      <c r="Q64" s="525">
        <v>15000.01</v>
      </c>
      <c r="R64" s="525">
        <v>30000.02</v>
      </c>
      <c r="S64" s="521">
        <f t="shared" si="2"/>
        <v>225000.15000000002</v>
      </c>
      <c r="T64" s="525">
        <v>15000.01</v>
      </c>
      <c r="U64" s="525">
        <v>15000.01</v>
      </c>
      <c r="V64" s="525">
        <v>15000.01</v>
      </c>
      <c r="W64" s="525">
        <v>30000.02</v>
      </c>
    </row>
    <row r="65" spans="1:23" s="501" customFormat="1" ht="12.75" customHeight="1" x14ac:dyDescent="0.25">
      <c r="A65" s="530">
        <v>3341</v>
      </c>
      <c r="B65" s="723" t="s">
        <v>1208</v>
      </c>
      <c r="C65" s="724"/>
      <c r="D65" s="524">
        <f t="shared" si="29"/>
        <v>22500</v>
      </c>
      <c r="E65" s="525">
        <v>10500</v>
      </c>
      <c r="F65" s="525">
        <v>0</v>
      </c>
      <c r="G65" s="525">
        <v>0</v>
      </c>
      <c r="H65" s="525">
        <v>0</v>
      </c>
      <c r="I65" s="525">
        <v>0</v>
      </c>
      <c r="J65" s="525">
        <v>6000</v>
      </c>
      <c r="K65" s="525">
        <v>0</v>
      </c>
      <c r="L65" s="525">
        <v>0</v>
      </c>
      <c r="M65" s="525">
        <v>0</v>
      </c>
      <c r="N65" s="525">
        <v>6000</v>
      </c>
      <c r="O65" s="525">
        <v>0</v>
      </c>
      <c r="P65" s="525">
        <v>6000</v>
      </c>
      <c r="Q65" s="525">
        <v>0</v>
      </c>
      <c r="R65" s="525">
        <v>0</v>
      </c>
      <c r="S65" s="521">
        <f t="shared" si="2"/>
        <v>28500</v>
      </c>
      <c r="T65" s="525">
        <v>0</v>
      </c>
      <c r="U65" s="525">
        <v>6000</v>
      </c>
      <c r="V65" s="525">
        <v>0</v>
      </c>
      <c r="W65" s="525">
        <v>0</v>
      </c>
    </row>
    <row r="66" spans="1:23" s="501" customFormat="1" ht="12.75" customHeight="1" x14ac:dyDescent="0.25">
      <c r="A66" s="530">
        <v>3350</v>
      </c>
      <c r="B66" s="531" t="s">
        <v>1209</v>
      </c>
      <c r="C66" s="532"/>
      <c r="D66" s="524">
        <f t="shared" si="29"/>
        <v>360000</v>
      </c>
      <c r="E66" s="525">
        <v>30000</v>
      </c>
      <c r="F66" s="525">
        <v>30000</v>
      </c>
      <c r="G66" s="525">
        <v>30000</v>
      </c>
      <c r="H66" s="525">
        <v>30000</v>
      </c>
      <c r="I66" s="525">
        <v>30000</v>
      </c>
      <c r="J66" s="525">
        <v>30000</v>
      </c>
      <c r="K66" s="525">
        <v>30000</v>
      </c>
      <c r="L66" s="525">
        <v>30000</v>
      </c>
      <c r="M66" s="525">
        <v>30000</v>
      </c>
      <c r="N66" s="525">
        <v>30000</v>
      </c>
      <c r="O66" s="525">
        <v>30000</v>
      </c>
      <c r="P66" s="525">
        <v>30000</v>
      </c>
      <c r="Q66" s="525">
        <v>30000</v>
      </c>
      <c r="R66" s="525">
        <v>30000</v>
      </c>
      <c r="S66" s="521">
        <f t="shared" si="2"/>
        <v>420000</v>
      </c>
      <c r="T66" s="525">
        <v>30000</v>
      </c>
      <c r="U66" s="525">
        <v>30000</v>
      </c>
      <c r="V66" s="525">
        <v>30000</v>
      </c>
      <c r="W66" s="525">
        <v>30000</v>
      </c>
    </row>
    <row r="67" spans="1:23" s="501" customFormat="1" ht="16.5" customHeight="1" x14ac:dyDescent="0.25">
      <c r="A67" s="530">
        <v>3361</v>
      </c>
      <c r="B67" s="723" t="s">
        <v>1210</v>
      </c>
      <c r="C67" s="724"/>
      <c r="D67" s="524">
        <f t="shared" si="29"/>
        <v>40000</v>
      </c>
      <c r="E67" s="525">
        <v>0</v>
      </c>
      <c r="F67" s="525">
        <v>0</v>
      </c>
      <c r="G67" s="525">
        <v>4000</v>
      </c>
      <c r="H67" s="525">
        <v>4000</v>
      </c>
      <c r="I67" s="525">
        <v>4000</v>
      </c>
      <c r="J67" s="525">
        <v>4000</v>
      </c>
      <c r="K67" s="525">
        <v>4000</v>
      </c>
      <c r="L67" s="525">
        <v>4000</v>
      </c>
      <c r="M67" s="525">
        <v>4000</v>
      </c>
      <c r="N67" s="525">
        <v>4000</v>
      </c>
      <c r="O67" s="525">
        <v>4000</v>
      </c>
      <c r="P67" s="525">
        <v>4000</v>
      </c>
      <c r="Q67" s="525">
        <v>4000</v>
      </c>
      <c r="R67" s="525">
        <v>4000</v>
      </c>
      <c r="S67" s="521">
        <f t="shared" si="2"/>
        <v>48000</v>
      </c>
      <c r="T67" s="525">
        <v>4000</v>
      </c>
      <c r="U67" s="525">
        <v>4000</v>
      </c>
      <c r="V67" s="525">
        <v>4000</v>
      </c>
      <c r="W67" s="525">
        <v>4000</v>
      </c>
    </row>
    <row r="68" spans="1:23" s="501" customFormat="1" ht="12.75" customHeight="1" x14ac:dyDescent="0.25">
      <c r="A68" s="530">
        <v>3381</v>
      </c>
      <c r="B68" s="723" t="s">
        <v>1211</v>
      </c>
      <c r="C68" s="724"/>
      <c r="D68" s="524">
        <f t="shared" si="29"/>
        <v>405438</v>
      </c>
      <c r="E68" s="525">
        <v>17739</v>
      </c>
      <c r="F68" s="525">
        <v>19119</v>
      </c>
      <c r="G68" s="525">
        <v>36858</v>
      </c>
      <c r="H68" s="525">
        <v>36858</v>
      </c>
      <c r="I68" s="525">
        <v>36858</v>
      </c>
      <c r="J68" s="525">
        <v>36858</v>
      </c>
      <c r="K68" s="525">
        <v>36858</v>
      </c>
      <c r="L68" s="525">
        <v>36858</v>
      </c>
      <c r="M68" s="525">
        <v>36858</v>
      </c>
      <c r="N68" s="525">
        <v>36858</v>
      </c>
      <c r="O68" s="525">
        <v>36858</v>
      </c>
      <c r="P68" s="525">
        <v>36858</v>
      </c>
      <c r="Q68" s="525">
        <v>36858</v>
      </c>
      <c r="R68" s="525">
        <v>36858</v>
      </c>
      <c r="S68" s="521">
        <f t="shared" si="2"/>
        <v>479154</v>
      </c>
      <c r="T68" s="525">
        <v>36858</v>
      </c>
      <c r="U68" s="525">
        <v>36858</v>
      </c>
      <c r="V68" s="525">
        <v>36858</v>
      </c>
      <c r="W68" s="525">
        <v>36858</v>
      </c>
    </row>
    <row r="69" spans="1:23" s="501" customFormat="1" ht="12.75" customHeight="1" x14ac:dyDescent="0.25">
      <c r="A69" s="530">
        <v>3391</v>
      </c>
      <c r="B69" s="723" t="s">
        <v>1212</v>
      </c>
      <c r="C69" s="724"/>
      <c r="D69" s="524">
        <f t="shared" si="29"/>
        <v>1408830.9300000002</v>
      </c>
      <c r="E69" s="525">
        <v>117402.58</v>
      </c>
      <c r="F69" s="525">
        <v>117402.58</v>
      </c>
      <c r="G69" s="525">
        <v>117402.58</v>
      </c>
      <c r="H69" s="525">
        <v>117402.58</v>
      </c>
      <c r="I69" s="525">
        <v>117402.58</v>
      </c>
      <c r="J69" s="525">
        <v>117402.58</v>
      </c>
      <c r="K69" s="525">
        <v>117402.58</v>
      </c>
      <c r="L69" s="525">
        <v>117402.58</v>
      </c>
      <c r="M69" s="525">
        <v>117402.58</v>
      </c>
      <c r="N69" s="525">
        <v>117402.58</v>
      </c>
      <c r="O69" s="525">
        <v>117402.58</v>
      </c>
      <c r="P69" s="525">
        <v>117402.58</v>
      </c>
      <c r="Q69" s="525">
        <v>117402.58</v>
      </c>
      <c r="R69" s="525">
        <v>117402.55</v>
      </c>
      <c r="S69" s="521">
        <f t="shared" si="2"/>
        <v>1643636.0900000003</v>
      </c>
      <c r="T69" s="525">
        <v>117402.58</v>
      </c>
      <c r="U69" s="525">
        <v>117402.58</v>
      </c>
      <c r="V69" s="525">
        <v>117402.58</v>
      </c>
      <c r="W69" s="525">
        <v>117402.55</v>
      </c>
    </row>
    <row r="70" spans="1:23" s="501" customFormat="1" ht="12.75" customHeight="1" x14ac:dyDescent="0.25">
      <c r="A70" s="530"/>
      <c r="B70" s="531"/>
      <c r="C70" s="532"/>
      <c r="D70" s="529">
        <f>SUM(D71:D74)</f>
        <v>66348</v>
      </c>
      <c r="E70" s="529">
        <f t="shared" ref="E70:W70" si="30">SUM(E71:E74)</f>
        <v>348</v>
      </c>
      <c r="F70" s="529">
        <f t="shared" si="30"/>
        <v>0</v>
      </c>
      <c r="G70" s="529">
        <f t="shared" si="30"/>
        <v>5500</v>
      </c>
      <c r="H70" s="529">
        <f t="shared" si="30"/>
        <v>2500</v>
      </c>
      <c r="I70" s="529">
        <f t="shared" si="30"/>
        <v>500</v>
      </c>
      <c r="J70" s="529">
        <f t="shared" si="30"/>
        <v>52500</v>
      </c>
      <c r="K70" s="529">
        <f t="shared" si="30"/>
        <v>500</v>
      </c>
      <c r="L70" s="529">
        <f t="shared" ref="L70:R70" si="31">SUM(L71:L74)</f>
        <v>2500</v>
      </c>
      <c r="M70" s="529">
        <f t="shared" si="31"/>
        <v>500</v>
      </c>
      <c r="N70" s="529">
        <f t="shared" si="31"/>
        <v>2500</v>
      </c>
      <c r="O70" s="529">
        <f t="shared" si="31"/>
        <v>500</v>
      </c>
      <c r="P70" s="529">
        <f t="shared" si="31"/>
        <v>2500</v>
      </c>
      <c r="Q70" s="529">
        <f t="shared" si="31"/>
        <v>500</v>
      </c>
      <c r="R70" s="529">
        <f t="shared" si="31"/>
        <v>500</v>
      </c>
      <c r="S70" s="521">
        <f t="shared" si="2"/>
        <v>71348</v>
      </c>
      <c r="T70" s="529">
        <f t="shared" si="30"/>
        <v>500</v>
      </c>
      <c r="U70" s="529">
        <f t="shared" si="30"/>
        <v>2500</v>
      </c>
      <c r="V70" s="529">
        <f t="shared" si="30"/>
        <v>500</v>
      </c>
      <c r="W70" s="529">
        <f t="shared" si="30"/>
        <v>500</v>
      </c>
    </row>
    <row r="71" spans="1:23" s="501" customFormat="1" ht="12.75" customHeight="1" x14ac:dyDescent="0.25">
      <c r="A71" s="530">
        <v>3411</v>
      </c>
      <c r="B71" s="723" t="s">
        <v>1213</v>
      </c>
      <c r="C71" s="724"/>
      <c r="D71" s="524">
        <f>+E71+F71+G71+H71+I71+J71+K71+M71+T71+U71+V71+W71</f>
        <v>5348</v>
      </c>
      <c r="E71" s="525">
        <v>348</v>
      </c>
      <c r="F71" s="525">
        <v>0</v>
      </c>
      <c r="G71" s="525">
        <v>500</v>
      </c>
      <c r="H71" s="525">
        <v>500</v>
      </c>
      <c r="I71" s="525">
        <v>500</v>
      </c>
      <c r="J71" s="525">
        <v>500</v>
      </c>
      <c r="K71" s="525">
        <v>500</v>
      </c>
      <c r="L71" s="525">
        <v>500</v>
      </c>
      <c r="M71" s="525">
        <v>500</v>
      </c>
      <c r="N71" s="525">
        <v>500</v>
      </c>
      <c r="O71" s="525">
        <v>500</v>
      </c>
      <c r="P71" s="525">
        <v>500</v>
      </c>
      <c r="Q71" s="525">
        <v>500</v>
      </c>
      <c r="R71" s="525">
        <v>500</v>
      </c>
      <c r="S71" s="521">
        <f t="shared" si="2"/>
        <v>6348</v>
      </c>
      <c r="T71" s="525">
        <v>500</v>
      </c>
      <c r="U71" s="525">
        <v>500</v>
      </c>
      <c r="V71" s="525">
        <v>500</v>
      </c>
      <c r="W71" s="525">
        <v>500</v>
      </c>
    </row>
    <row r="72" spans="1:23" s="501" customFormat="1" ht="12.75" customHeight="1" x14ac:dyDescent="0.25">
      <c r="A72" s="530">
        <v>3441</v>
      </c>
      <c r="B72" s="723" t="s">
        <v>1214</v>
      </c>
      <c r="C72" s="724"/>
      <c r="D72" s="524">
        <f>+E72+F72+G72+H72+I72+J72+K72+M72+T72+U72+V72+W72</f>
        <v>6000</v>
      </c>
      <c r="E72" s="525">
        <v>0</v>
      </c>
      <c r="F72" s="525">
        <v>0</v>
      </c>
      <c r="G72" s="525">
        <v>0</v>
      </c>
      <c r="H72" s="525">
        <v>2000</v>
      </c>
      <c r="I72" s="525">
        <v>0</v>
      </c>
      <c r="J72" s="525">
        <v>2000</v>
      </c>
      <c r="K72" s="525">
        <v>0</v>
      </c>
      <c r="L72" s="525">
        <v>2000</v>
      </c>
      <c r="M72" s="525">
        <v>0</v>
      </c>
      <c r="N72" s="525">
        <v>2000</v>
      </c>
      <c r="O72" s="525">
        <v>0</v>
      </c>
      <c r="P72" s="525">
        <v>2000</v>
      </c>
      <c r="Q72" s="525">
        <v>0</v>
      </c>
      <c r="R72" s="525">
        <v>0</v>
      </c>
      <c r="S72" s="521">
        <f t="shared" si="2"/>
        <v>10000</v>
      </c>
      <c r="T72" s="525">
        <v>0</v>
      </c>
      <c r="U72" s="525">
        <v>2000</v>
      </c>
      <c r="V72" s="525">
        <v>0</v>
      </c>
      <c r="W72" s="525">
        <v>0</v>
      </c>
    </row>
    <row r="73" spans="1:23" s="501" customFormat="1" ht="12.75" customHeight="1" x14ac:dyDescent="0.25">
      <c r="A73" s="530">
        <v>3451</v>
      </c>
      <c r="B73" s="723" t="s">
        <v>1215</v>
      </c>
      <c r="C73" s="724"/>
      <c r="D73" s="524">
        <f>+E73+F73+G73+H73+I73+J73+K73+M73+T73+U73+V73+W73</f>
        <v>50000</v>
      </c>
      <c r="E73" s="525">
        <v>0</v>
      </c>
      <c r="F73" s="525">
        <v>0</v>
      </c>
      <c r="G73" s="525">
        <v>0</v>
      </c>
      <c r="H73" s="525">
        <v>0</v>
      </c>
      <c r="I73" s="525">
        <v>0</v>
      </c>
      <c r="J73" s="525">
        <v>50000</v>
      </c>
      <c r="K73" s="525">
        <v>0</v>
      </c>
      <c r="L73" s="525">
        <v>0</v>
      </c>
      <c r="M73" s="525">
        <v>0</v>
      </c>
      <c r="N73" s="525">
        <v>0</v>
      </c>
      <c r="O73" s="525">
        <v>0</v>
      </c>
      <c r="P73" s="525">
        <v>0</v>
      </c>
      <c r="Q73" s="525">
        <v>0</v>
      </c>
      <c r="R73" s="525">
        <v>0</v>
      </c>
      <c r="S73" s="521">
        <f t="shared" si="2"/>
        <v>50000</v>
      </c>
      <c r="T73" s="525">
        <v>0</v>
      </c>
      <c r="U73" s="525">
        <v>0</v>
      </c>
      <c r="V73" s="525">
        <v>0</v>
      </c>
      <c r="W73" s="525">
        <v>0</v>
      </c>
    </row>
    <row r="74" spans="1:23" s="501" customFormat="1" ht="12.75" customHeight="1" x14ac:dyDescent="0.25">
      <c r="A74" s="530">
        <v>3491</v>
      </c>
      <c r="B74" s="723" t="s">
        <v>1216</v>
      </c>
      <c r="C74" s="724"/>
      <c r="D74" s="524">
        <f>+E74+F74+G74+H74+I74+J74+K74+M74+T74+U74+V74+W74</f>
        <v>5000</v>
      </c>
      <c r="E74" s="525">
        <v>0</v>
      </c>
      <c r="F74" s="525">
        <v>0</v>
      </c>
      <c r="G74" s="525">
        <v>5000</v>
      </c>
      <c r="H74" s="525">
        <v>0</v>
      </c>
      <c r="I74" s="525">
        <v>0</v>
      </c>
      <c r="J74" s="525">
        <v>0</v>
      </c>
      <c r="K74" s="525">
        <v>0</v>
      </c>
      <c r="L74" s="525">
        <v>0</v>
      </c>
      <c r="M74" s="525">
        <v>0</v>
      </c>
      <c r="N74" s="525">
        <v>0</v>
      </c>
      <c r="O74" s="525">
        <v>0</v>
      </c>
      <c r="P74" s="525">
        <v>0</v>
      </c>
      <c r="Q74" s="525">
        <v>0</v>
      </c>
      <c r="R74" s="525">
        <v>0</v>
      </c>
      <c r="S74" s="521">
        <f t="shared" si="2"/>
        <v>5000</v>
      </c>
      <c r="T74" s="525">
        <v>0</v>
      </c>
      <c r="U74" s="525">
        <v>0</v>
      </c>
      <c r="V74" s="525">
        <v>0</v>
      </c>
      <c r="W74" s="525">
        <v>0</v>
      </c>
    </row>
    <row r="75" spans="1:23" s="501" customFormat="1" ht="12.75" customHeight="1" x14ac:dyDescent="0.25">
      <c r="A75" s="530"/>
      <c r="B75" s="531"/>
      <c r="C75" s="532"/>
      <c r="D75" s="529">
        <f>SUM(D76:D79)</f>
        <v>119899.44</v>
      </c>
      <c r="E75" s="529">
        <f t="shared" ref="E75:W75" si="32">SUM(E76:E79)</f>
        <v>0</v>
      </c>
      <c r="F75" s="529">
        <f t="shared" si="32"/>
        <v>4899.4399999999996</v>
      </c>
      <c r="G75" s="529">
        <f t="shared" si="32"/>
        <v>11500</v>
      </c>
      <c r="H75" s="529">
        <f t="shared" si="32"/>
        <v>11500</v>
      </c>
      <c r="I75" s="529">
        <f t="shared" si="32"/>
        <v>11500</v>
      </c>
      <c r="J75" s="529">
        <f t="shared" si="32"/>
        <v>11500</v>
      </c>
      <c r="K75" s="529">
        <f t="shared" si="32"/>
        <v>11500</v>
      </c>
      <c r="L75" s="529">
        <f t="shared" ref="L75:M75" si="33">SUM(L76:L79)</f>
        <v>11500</v>
      </c>
      <c r="M75" s="529">
        <f t="shared" si="33"/>
        <v>11500</v>
      </c>
      <c r="N75" s="529">
        <f t="shared" ref="N75:R75" si="34">SUM(N76:N79)</f>
        <v>11500</v>
      </c>
      <c r="O75" s="529">
        <f t="shared" si="34"/>
        <v>11500</v>
      </c>
      <c r="P75" s="529">
        <f t="shared" si="34"/>
        <v>11500</v>
      </c>
      <c r="Q75" s="529">
        <f t="shared" si="34"/>
        <v>11500</v>
      </c>
      <c r="R75" s="529">
        <f t="shared" si="34"/>
        <v>11500</v>
      </c>
      <c r="S75" s="521">
        <f t="shared" si="2"/>
        <v>142899.44</v>
      </c>
      <c r="T75" s="529">
        <f t="shared" si="32"/>
        <v>11500</v>
      </c>
      <c r="U75" s="529">
        <f t="shared" si="32"/>
        <v>11500</v>
      </c>
      <c r="V75" s="529">
        <f t="shared" si="32"/>
        <v>11500</v>
      </c>
      <c r="W75" s="529">
        <f t="shared" si="32"/>
        <v>11500</v>
      </c>
    </row>
    <row r="76" spans="1:23" s="501" customFormat="1" ht="12.75" customHeight="1" x14ac:dyDescent="0.25">
      <c r="A76" s="530">
        <v>3511</v>
      </c>
      <c r="B76" s="723" t="s">
        <v>1217</v>
      </c>
      <c r="C76" s="724"/>
      <c r="D76" s="524">
        <f>+E76+F76+G76+H76+I76+J76+K76+M76+T76+U76+V76+W76</f>
        <v>10000</v>
      </c>
      <c r="E76" s="525">
        <v>0</v>
      </c>
      <c r="F76" s="525">
        <v>0</v>
      </c>
      <c r="G76" s="525">
        <v>1000</v>
      </c>
      <c r="H76" s="525">
        <v>1000</v>
      </c>
      <c r="I76" s="525">
        <v>1000</v>
      </c>
      <c r="J76" s="525">
        <v>1000</v>
      </c>
      <c r="K76" s="525">
        <v>1000</v>
      </c>
      <c r="L76" s="525">
        <v>1000</v>
      </c>
      <c r="M76" s="525">
        <v>1000</v>
      </c>
      <c r="N76" s="525">
        <v>1000</v>
      </c>
      <c r="O76" s="525">
        <v>1000</v>
      </c>
      <c r="P76" s="525">
        <v>1000</v>
      </c>
      <c r="Q76" s="525">
        <v>1000</v>
      </c>
      <c r="R76" s="525">
        <v>1000</v>
      </c>
      <c r="S76" s="521">
        <f t="shared" si="2"/>
        <v>12000</v>
      </c>
      <c r="T76" s="525">
        <v>1000</v>
      </c>
      <c r="U76" s="525">
        <v>1000</v>
      </c>
      <c r="V76" s="525">
        <v>1000</v>
      </c>
      <c r="W76" s="525">
        <v>1000</v>
      </c>
    </row>
    <row r="77" spans="1:23" s="501" customFormat="1" ht="17.25" customHeight="1" x14ac:dyDescent="0.25">
      <c r="A77" s="530">
        <v>3521</v>
      </c>
      <c r="B77" s="723" t="s">
        <v>1218</v>
      </c>
      <c r="C77" s="724"/>
      <c r="D77" s="524">
        <f>+E77+F77+G77+H77+I77+J77+K77+M77+T77+U77+V77+W77</f>
        <v>5000</v>
      </c>
      <c r="E77" s="525">
        <v>0</v>
      </c>
      <c r="F77" s="525">
        <v>0</v>
      </c>
      <c r="G77" s="525">
        <v>500</v>
      </c>
      <c r="H77" s="525">
        <v>500</v>
      </c>
      <c r="I77" s="525">
        <v>500</v>
      </c>
      <c r="J77" s="525">
        <v>500</v>
      </c>
      <c r="K77" s="525">
        <v>500</v>
      </c>
      <c r="L77" s="525">
        <v>500</v>
      </c>
      <c r="M77" s="525">
        <v>500</v>
      </c>
      <c r="N77" s="525">
        <v>500</v>
      </c>
      <c r="O77" s="525">
        <v>500</v>
      </c>
      <c r="P77" s="525">
        <v>500</v>
      </c>
      <c r="Q77" s="525">
        <v>500</v>
      </c>
      <c r="R77" s="525">
        <v>500</v>
      </c>
      <c r="S77" s="521">
        <f t="shared" si="2"/>
        <v>6000</v>
      </c>
      <c r="T77" s="525">
        <v>500</v>
      </c>
      <c r="U77" s="525">
        <v>500</v>
      </c>
      <c r="V77" s="525">
        <v>500</v>
      </c>
      <c r="W77" s="525">
        <v>500</v>
      </c>
    </row>
    <row r="78" spans="1:23" s="501" customFormat="1" ht="16.5" customHeight="1" x14ac:dyDescent="0.25">
      <c r="A78" s="530">
        <v>3531</v>
      </c>
      <c r="B78" s="723" t="s">
        <v>1219</v>
      </c>
      <c r="C78" s="724"/>
      <c r="D78" s="524">
        <f>+E78+F78+G78+H78+I78+J78+K78+M78+T78+U78+V78+W78</f>
        <v>20000</v>
      </c>
      <c r="E78" s="525">
        <v>0</v>
      </c>
      <c r="F78" s="525">
        <v>0</v>
      </c>
      <c r="G78" s="525">
        <v>2000</v>
      </c>
      <c r="H78" s="525">
        <v>2000</v>
      </c>
      <c r="I78" s="525">
        <v>2000</v>
      </c>
      <c r="J78" s="525">
        <v>2000</v>
      </c>
      <c r="K78" s="525">
        <v>2000</v>
      </c>
      <c r="L78" s="525">
        <v>2000</v>
      </c>
      <c r="M78" s="525">
        <v>2000</v>
      </c>
      <c r="N78" s="525">
        <v>2000</v>
      </c>
      <c r="O78" s="525">
        <v>2000</v>
      </c>
      <c r="P78" s="525">
        <v>2000</v>
      </c>
      <c r="Q78" s="525">
        <v>2000</v>
      </c>
      <c r="R78" s="525">
        <v>2000</v>
      </c>
      <c r="S78" s="521">
        <f t="shared" si="2"/>
        <v>24000</v>
      </c>
      <c r="T78" s="525">
        <v>2000</v>
      </c>
      <c r="U78" s="525">
        <v>2000</v>
      </c>
      <c r="V78" s="525">
        <v>2000</v>
      </c>
      <c r="W78" s="525">
        <v>2000</v>
      </c>
    </row>
    <row r="79" spans="1:23" s="501" customFormat="1" ht="12.75" customHeight="1" x14ac:dyDescent="0.25">
      <c r="A79" s="530">
        <v>3551</v>
      </c>
      <c r="B79" s="723" t="s">
        <v>1220</v>
      </c>
      <c r="C79" s="724"/>
      <c r="D79" s="524">
        <f>+E79+F79+G79+H79+I79+J79+K79+M79+T79+U79+V79+W79</f>
        <v>84899.44</v>
      </c>
      <c r="E79" s="525">
        <v>0</v>
      </c>
      <c r="F79" s="525">
        <v>4899.4399999999996</v>
      </c>
      <c r="G79" s="525">
        <v>8000</v>
      </c>
      <c r="H79" s="525">
        <v>8000</v>
      </c>
      <c r="I79" s="525">
        <v>8000</v>
      </c>
      <c r="J79" s="525">
        <v>8000</v>
      </c>
      <c r="K79" s="525">
        <v>8000</v>
      </c>
      <c r="L79" s="525">
        <v>8000</v>
      </c>
      <c r="M79" s="525">
        <v>8000</v>
      </c>
      <c r="N79" s="525">
        <v>8000</v>
      </c>
      <c r="O79" s="525">
        <v>8000</v>
      </c>
      <c r="P79" s="525">
        <v>8000</v>
      </c>
      <c r="Q79" s="525">
        <v>8000</v>
      </c>
      <c r="R79" s="525">
        <v>8000</v>
      </c>
      <c r="S79" s="521">
        <f t="shared" ref="S79:S104" si="35">SUM(E79:R79)</f>
        <v>100899.44</v>
      </c>
      <c r="T79" s="525">
        <v>8000</v>
      </c>
      <c r="U79" s="525">
        <v>8000</v>
      </c>
      <c r="V79" s="525">
        <v>8000</v>
      </c>
      <c r="W79" s="525">
        <v>8000</v>
      </c>
    </row>
    <row r="80" spans="1:23" s="501" customFormat="1" ht="12.75" customHeight="1" x14ac:dyDescent="0.25">
      <c r="A80" s="530"/>
      <c r="B80" s="531"/>
      <c r="C80" s="532"/>
      <c r="D80" s="524"/>
      <c r="E80" s="525"/>
      <c r="F80" s="525"/>
      <c r="G80" s="525"/>
      <c r="H80" s="525"/>
      <c r="I80" s="525"/>
      <c r="J80" s="525"/>
      <c r="K80" s="525"/>
      <c r="L80" s="525"/>
      <c r="M80" s="525"/>
      <c r="N80" s="525"/>
      <c r="O80" s="525"/>
      <c r="P80" s="525"/>
      <c r="Q80" s="525"/>
      <c r="R80" s="525"/>
      <c r="S80" s="521">
        <f t="shared" si="35"/>
        <v>0</v>
      </c>
      <c r="T80" s="525"/>
      <c r="U80" s="525"/>
      <c r="V80" s="525"/>
      <c r="W80" s="525"/>
    </row>
    <row r="81" spans="1:23" s="501" customFormat="1" ht="18" customHeight="1" x14ac:dyDescent="0.25">
      <c r="A81" s="530">
        <v>3611</v>
      </c>
      <c r="B81" s="723" t="s">
        <v>1221</v>
      </c>
      <c r="C81" s="724"/>
      <c r="D81" s="524">
        <f>+E81+F81+G81+H81+I81+J81+K81+M81+T81+U81+V81+W81</f>
        <v>20000</v>
      </c>
      <c r="E81" s="525">
        <v>0</v>
      </c>
      <c r="F81" s="525">
        <v>0</v>
      </c>
      <c r="G81" s="525">
        <v>2000</v>
      </c>
      <c r="H81" s="525">
        <v>2000</v>
      </c>
      <c r="I81" s="525">
        <v>2000</v>
      </c>
      <c r="J81" s="525">
        <v>2000</v>
      </c>
      <c r="K81" s="525">
        <v>2000</v>
      </c>
      <c r="L81" s="525">
        <v>2000</v>
      </c>
      <c r="M81" s="525">
        <v>2000</v>
      </c>
      <c r="N81" s="525">
        <v>2000</v>
      </c>
      <c r="O81" s="525">
        <v>2000</v>
      </c>
      <c r="P81" s="525">
        <v>2000</v>
      </c>
      <c r="Q81" s="525">
        <v>2000</v>
      </c>
      <c r="R81" s="525">
        <v>2000</v>
      </c>
      <c r="S81" s="521">
        <f t="shared" si="35"/>
        <v>24000</v>
      </c>
      <c r="T81" s="525">
        <v>2000</v>
      </c>
      <c r="U81" s="525">
        <v>2000</v>
      </c>
      <c r="V81" s="525">
        <v>2000</v>
      </c>
      <c r="W81" s="525">
        <v>2000</v>
      </c>
    </row>
    <row r="82" spans="1:23" s="501" customFormat="1" ht="18" customHeight="1" x14ac:dyDescent="0.25">
      <c r="A82" s="530"/>
      <c r="B82" s="531"/>
      <c r="C82" s="532"/>
      <c r="D82" s="529">
        <f>SUM(D83:D88)</f>
        <v>204157.84</v>
      </c>
      <c r="E82" s="529">
        <f t="shared" ref="E82:W82" si="36">SUM(E83:E88)</f>
        <v>5827</v>
      </c>
      <c r="F82" s="529">
        <f t="shared" si="36"/>
        <v>2330.84</v>
      </c>
      <c r="G82" s="529">
        <f t="shared" si="36"/>
        <v>30200</v>
      </c>
      <c r="H82" s="529">
        <f t="shared" si="36"/>
        <v>15200</v>
      </c>
      <c r="I82" s="529">
        <f t="shared" si="36"/>
        <v>44200</v>
      </c>
      <c r="J82" s="529">
        <f t="shared" si="36"/>
        <v>15200</v>
      </c>
      <c r="K82" s="529">
        <f t="shared" si="36"/>
        <v>15200</v>
      </c>
      <c r="L82" s="529">
        <f t="shared" ref="L82:R82" si="37">SUM(L83:L88)</f>
        <v>44200</v>
      </c>
      <c r="M82" s="529">
        <f t="shared" si="37"/>
        <v>15200</v>
      </c>
      <c r="N82" s="529">
        <f t="shared" si="37"/>
        <v>15200</v>
      </c>
      <c r="O82" s="529">
        <f t="shared" si="37"/>
        <v>15200</v>
      </c>
      <c r="P82" s="529">
        <f t="shared" si="37"/>
        <v>15200</v>
      </c>
      <c r="Q82" s="529">
        <f t="shared" si="37"/>
        <v>15200</v>
      </c>
      <c r="R82" s="529">
        <f t="shared" si="37"/>
        <v>15200</v>
      </c>
      <c r="S82" s="521">
        <f t="shared" si="35"/>
        <v>263557.83999999997</v>
      </c>
      <c r="T82" s="529">
        <f t="shared" si="36"/>
        <v>15200</v>
      </c>
      <c r="U82" s="529">
        <f t="shared" si="36"/>
        <v>15200</v>
      </c>
      <c r="V82" s="529">
        <f t="shared" si="36"/>
        <v>15200</v>
      </c>
      <c r="W82" s="529">
        <f t="shared" si="36"/>
        <v>15200</v>
      </c>
    </row>
    <row r="83" spans="1:23" s="501" customFormat="1" ht="12.75" customHeight="1" x14ac:dyDescent="0.25">
      <c r="A83" s="530">
        <v>3711</v>
      </c>
      <c r="B83" s="723" t="s">
        <v>1222</v>
      </c>
      <c r="C83" s="724"/>
      <c r="D83" s="524">
        <f t="shared" ref="D83:D88" si="38">+E83+F83+G83+H83+I83+J83+K83+M83+T83+U83+V83+W83</f>
        <v>50000</v>
      </c>
      <c r="E83" s="525">
        <v>0</v>
      </c>
      <c r="F83" s="525">
        <v>0</v>
      </c>
      <c r="G83" s="525">
        <v>5000</v>
      </c>
      <c r="H83" s="525">
        <v>5000</v>
      </c>
      <c r="I83" s="525">
        <v>5000</v>
      </c>
      <c r="J83" s="525">
        <v>5000</v>
      </c>
      <c r="K83" s="525">
        <v>5000</v>
      </c>
      <c r="L83" s="525">
        <v>5000</v>
      </c>
      <c r="M83" s="525">
        <v>5000</v>
      </c>
      <c r="N83" s="525">
        <v>5000</v>
      </c>
      <c r="O83" s="525">
        <v>5000</v>
      </c>
      <c r="P83" s="525">
        <v>5000</v>
      </c>
      <c r="Q83" s="525">
        <v>5000</v>
      </c>
      <c r="R83" s="525">
        <v>5000</v>
      </c>
      <c r="S83" s="521">
        <f t="shared" si="35"/>
        <v>60000</v>
      </c>
      <c r="T83" s="525">
        <v>5000</v>
      </c>
      <c r="U83" s="525">
        <v>5000</v>
      </c>
      <c r="V83" s="525">
        <v>5000</v>
      </c>
      <c r="W83" s="525">
        <v>5000</v>
      </c>
    </row>
    <row r="84" spans="1:23" s="501" customFormat="1" ht="12.75" customHeight="1" x14ac:dyDescent="0.25">
      <c r="A84" s="530">
        <v>3721</v>
      </c>
      <c r="B84" s="723" t="s">
        <v>1223</v>
      </c>
      <c r="C84" s="724"/>
      <c r="D84" s="524">
        <f t="shared" si="38"/>
        <v>12600</v>
      </c>
      <c r="E84" s="525">
        <v>550</v>
      </c>
      <c r="F84" s="525">
        <v>50</v>
      </c>
      <c r="G84" s="525">
        <v>1200</v>
      </c>
      <c r="H84" s="525">
        <v>1200</v>
      </c>
      <c r="I84" s="525">
        <v>1200</v>
      </c>
      <c r="J84" s="525">
        <v>1200</v>
      </c>
      <c r="K84" s="525">
        <v>1200</v>
      </c>
      <c r="L84" s="525">
        <v>1200</v>
      </c>
      <c r="M84" s="525">
        <v>1200</v>
      </c>
      <c r="N84" s="525">
        <v>1200</v>
      </c>
      <c r="O84" s="525">
        <v>1200</v>
      </c>
      <c r="P84" s="525">
        <v>1200</v>
      </c>
      <c r="Q84" s="525">
        <v>1200</v>
      </c>
      <c r="R84" s="525">
        <v>1200</v>
      </c>
      <c r="S84" s="521">
        <f t="shared" si="35"/>
        <v>15000</v>
      </c>
      <c r="T84" s="525">
        <v>1200</v>
      </c>
      <c r="U84" s="525">
        <v>1200</v>
      </c>
      <c r="V84" s="525">
        <v>1200</v>
      </c>
      <c r="W84" s="525">
        <v>1200</v>
      </c>
    </row>
    <row r="85" spans="1:23" s="501" customFormat="1" ht="12.75" customHeight="1" x14ac:dyDescent="0.25">
      <c r="A85" s="530">
        <v>3751</v>
      </c>
      <c r="B85" s="723" t="s">
        <v>1224</v>
      </c>
      <c r="C85" s="724"/>
      <c r="D85" s="524">
        <f t="shared" si="38"/>
        <v>97557.84</v>
      </c>
      <c r="E85" s="525">
        <v>5277</v>
      </c>
      <c r="F85" s="525">
        <v>2280.84</v>
      </c>
      <c r="G85" s="525">
        <v>9000</v>
      </c>
      <c r="H85" s="525">
        <v>9000</v>
      </c>
      <c r="I85" s="525">
        <v>9000</v>
      </c>
      <c r="J85" s="525">
        <v>9000</v>
      </c>
      <c r="K85" s="525">
        <v>9000</v>
      </c>
      <c r="L85" s="525">
        <v>9000</v>
      </c>
      <c r="M85" s="525">
        <v>9000</v>
      </c>
      <c r="N85" s="525">
        <v>9000</v>
      </c>
      <c r="O85" s="525">
        <v>9000</v>
      </c>
      <c r="P85" s="525">
        <v>9000</v>
      </c>
      <c r="Q85" s="525">
        <v>9000</v>
      </c>
      <c r="R85" s="525">
        <v>9000</v>
      </c>
      <c r="S85" s="521">
        <f t="shared" si="35"/>
        <v>115557.84</v>
      </c>
      <c r="T85" s="525">
        <v>9000</v>
      </c>
      <c r="U85" s="525">
        <v>9000</v>
      </c>
      <c r="V85" s="525">
        <v>9000</v>
      </c>
      <c r="W85" s="525">
        <v>9000</v>
      </c>
    </row>
    <row r="86" spans="1:23" s="501" customFormat="1" ht="12.75" customHeight="1" x14ac:dyDescent="0.25">
      <c r="A86" s="530">
        <v>3761</v>
      </c>
      <c r="B86" s="723" t="s">
        <v>1225</v>
      </c>
      <c r="C86" s="724"/>
      <c r="D86" s="524">
        <f t="shared" si="38"/>
        <v>7000</v>
      </c>
      <c r="E86" s="525">
        <v>0</v>
      </c>
      <c r="F86" s="525">
        <v>0</v>
      </c>
      <c r="G86" s="525">
        <v>0</v>
      </c>
      <c r="H86" s="525">
        <v>0</v>
      </c>
      <c r="I86" s="525">
        <v>7000</v>
      </c>
      <c r="J86" s="525">
        <v>0</v>
      </c>
      <c r="K86" s="525">
        <v>0</v>
      </c>
      <c r="L86" s="525">
        <v>7000</v>
      </c>
      <c r="M86" s="525">
        <v>0</v>
      </c>
      <c r="N86" s="525">
        <v>0</v>
      </c>
      <c r="O86" s="525">
        <v>0</v>
      </c>
      <c r="P86" s="525">
        <v>0</v>
      </c>
      <c r="Q86" s="525">
        <v>0</v>
      </c>
      <c r="R86" s="525">
        <v>0</v>
      </c>
      <c r="S86" s="521">
        <f t="shared" si="35"/>
        <v>14000</v>
      </c>
      <c r="T86" s="525">
        <v>0</v>
      </c>
      <c r="U86" s="525">
        <v>0</v>
      </c>
      <c r="V86" s="525">
        <v>0</v>
      </c>
      <c r="W86" s="525">
        <v>0</v>
      </c>
    </row>
    <row r="87" spans="1:23" s="501" customFormat="1" ht="12.75" customHeight="1" x14ac:dyDescent="0.25">
      <c r="A87" s="530">
        <v>3781</v>
      </c>
      <c r="B87" s="723" t="s">
        <v>1226</v>
      </c>
      <c r="C87" s="724"/>
      <c r="D87" s="524">
        <f t="shared" si="38"/>
        <v>7000</v>
      </c>
      <c r="E87" s="525">
        <v>0</v>
      </c>
      <c r="F87" s="525">
        <v>0</v>
      </c>
      <c r="G87" s="525">
        <v>0</v>
      </c>
      <c r="H87" s="525">
        <v>0</v>
      </c>
      <c r="I87" s="525">
        <v>7000</v>
      </c>
      <c r="J87" s="525">
        <v>0</v>
      </c>
      <c r="K87" s="525">
        <v>0</v>
      </c>
      <c r="L87" s="525">
        <v>7000</v>
      </c>
      <c r="M87" s="525">
        <v>0</v>
      </c>
      <c r="N87" s="525">
        <v>0</v>
      </c>
      <c r="O87" s="525">
        <v>0</v>
      </c>
      <c r="P87" s="525">
        <v>0</v>
      </c>
      <c r="Q87" s="525">
        <v>0</v>
      </c>
      <c r="R87" s="525">
        <v>0</v>
      </c>
      <c r="S87" s="521">
        <f t="shared" si="35"/>
        <v>14000</v>
      </c>
      <c r="T87" s="525">
        <v>0</v>
      </c>
      <c r="U87" s="525">
        <v>0</v>
      </c>
      <c r="V87" s="525">
        <v>0</v>
      </c>
      <c r="W87" s="525">
        <v>0</v>
      </c>
    </row>
    <row r="88" spans="1:23" s="501" customFormat="1" ht="12.75" customHeight="1" x14ac:dyDescent="0.25">
      <c r="A88" s="530">
        <v>3791</v>
      </c>
      <c r="B88" s="723" t="s">
        <v>1227</v>
      </c>
      <c r="C88" s="724"/>
      <c r="D88" s="524">
        <f t="shared" si="38"/>
        <v>30000</v>
      </c>
      <c r="E88" s="525">
        <v>0</v>
      </c>
      <c r="F88" s="525">
        <v>0</v>
      </c>
      <c r="G88" s="525">
        <v>15000</v>
      </c>
      <c r="H88" s="525">
        <v>0</v>
      </c>
      <c r="I88" s="525">
        <v>15000</v>
      </c>
      <c r="J88" s="525">
        <v>0</v>
      </c>
      <c r="K88" s="525">
        <v>0</v>
      </c>
      <c r="L88" s="525">
        <v>15000</v>
      </c>
      <c r="M88" s="525">
        <v>0</v>
      </c>
      <c r="N88" s="525">
        <v>0</v>
      </c>
      <c r="O88" s="525">
        <v>0</v>
      </c>
      <c r="P88" s="525">
        <v>0</v>
      </c>
      <c r="Q88" s="525">
        <v>0</v>
      </c>
      <c r="R88" s="525">
        <v>0</v>
      </c>
      <c r="S88" s="521">
        <f t="shared" si="35"/>
        <v>45000</v>
      </c>
      <c r="T88" s="525">
        <v>0</v>
      </c>
      <c r="U88" s="525">
        <v>0</v>
      </c>
      <c r="V88" s="525">
        <v>0</v>
      </c>
      <c r="W88" s="525">
        <v>0</v>
      </c>
    </row>
    <row r="89" spans="1:23" s="501" customFormat="1" ht="12.75" customHeight="1" x14ac:dyDescent="0.25">
      <c r="A89" s="530"/>
      <c r="B89" s="531"/>
      <c r="C89" s="532"/>
      <c r="D89" s="529">
        <f>SUM(D90:D94)</f>
        <v>162045.56</v>
      </c>
      <c r="E89" s="529">
        <f t="shared" ref="E89:W89" si="39">SUM(E90:E94)</f>
        <v>0</v>
      </c>
      <c r="F89" s="529">
        <f t="shared" si="39"/>
        <v>0</v>
      </c>
      <c r="G89" s="529">
        <f t="shared" si="39"/>
        <v>3545.56</v>
      </c>
      <c r="H89" s="529">
        <f t="shared" si="39"/>
        <v>4500</v>
      </c>
      <c r="I89" s="529">
        <f t="shared" si="39"/>
        <v>4500</v>
      </c>
      <c r="J89" s="529">
        <f t="shared" si="39"/>
        <v>48500</v>
      </c>
      <c r="K89" s="529">
        <f t="shared" si="39"/>
        <v>4500</v>
      </c>
      <c r="L89" s="529">
        <f t="shared" ref="L89:R89" si="40">SUM(L90:L94)</f>
        <v>6100</v>
      </c>
      <c r="M89" s="529">
        <f t="shared" si="40"/>
        <v>6500</v>
      </c>
      <c r="N89" s="529">
        <f t="shared" si="40"/>
        <v>23500</v>
      </c>
      <c r="O89" s="529">
        <f t="shared" si="40"/>
        <v>6500</v>
      </c>
      <c r="P89" s="529">
        <f t="shared" si="40"/>
        <v>23500</v>
      </c>
      <c r="Q89" s="529">
        <f t="shared" si="40"/>
        <v>6500</v>
      </c>
      <c r="R89" s="529">
        <f t="shared" si="40"/>
        <v>53500</v>
      </c>
      <c r="S89" s="521">
        <f t="shared" si="35"/>
        <v>191645.56</v>
      </c>
      <c r="T89" s="529">
        <f t="shared" si="39"/>
        <v>6500</v>
      </c>
      <c r="U89" s="529">
        <f t="shared" si="39"/>
        <v>23500</v>
      </c>
      <c r="V89" s="529">
        <f t="shared" si="39"/>
        <v>6500</v>
      </c>
      <c r="W89" s="529">
        <f t="shared" si="39"/>
        <v>53500</v>
      </c>
    </row>
    <row r="90" spans="1:23" s="501" customFormat="1" ht="12.75" customHeight="1" x14ac:dyDescent="0.25">
      <c r="A90" s="530">
        <v>3811</v>
      </c>
      <c r="B90" s="723" t="s">
        <v>1228</v>
      </c>
      <c r="C90" s="724"/>
      <c r="D90" s="524">
        <f>+E90+F90+G90+H90+I90+J90+K90+M90+T90+U90+V90+W90</f>
        <v>83000</v>
      </c>
      <c r="E90" s="525">
        <v>0</v>
      </c>
      <c r="F90" s="525">
        <v>0</v>
      </c>
      <c r="G90" s="525">
        <v>1000</v>
      </c>
      <c r="H90" s="525">
        <v>1000</v>
      </c>
      <c r="I90" s="525">
        <v>1000</v>
      </c>
      <c r="J90" s="525">
        <v>45000</v>
      </c>
      <c r="K90" s="525">
        <v>1000</v>
      </c>
      <c r="L90" s="525">
        <v>1000</v>
      </c>
      <c r="M90" s="525">
        <v>1000</v>
      </c>
      <c r="N90" s="525">
        <v>1000</v>
      </c>
      <c r="O90" s="525">
        <v>1000</v>
      </c>
      <c r="P90" s="525">
        <v>1000</v>
      </c>
      <c r="Q90" s="525">
        <v>1000</v>
      </c>
      <c r="R90" s="525">
        <v>30000</v>
      </c>
      <c r="S90" s="521">
        <f t="shared" si="35"/>
        <v>85000</v>
      </c>
      <c r="T90" s="525">
        <v>1000</v>
      </c>
      <c r="U90" s="525">
        <v>1000</v>
      </c>
      <c r="V90" s="525">
        <v>1000</v>
      </c>
      <c r="W90" s="525">
        <v>30000</v>
      </c>
    </row>
    <row r="91" spans="1:23" s="501" customFormat="1" ht="12.75" customHeight="1" x14ac:dyDescent="0.25">
      <c r="A91" s="530">
        <v>3821</v>
      </c>
      <c r="B91" s="723" t="s">
        <v>1229</v>
      </c>
      <c r="C91" s="724"/>
      <c r="D91" s="524">
        <f>+E91+F91+G91+H91+I91+J91+K91+M91+T91+U91+V91+W91</f>
        <v>38000</v>
      </c>
      <c r="E91" s="525">
        <v>0</v>
      </c>
      <c r="F91" s="525">
        <v>0</v>
      </c>
      <c r="G91" s="525">
        <v>2000</v>
      </c>
      <c r="H91" s="525">
        <v>2000</v>
      </c>
      <c r="I91" s="525">
        <v>2000</v>
      </c>
      <c r="J91" s="525">
        <v>2000</v>
      </c>
      <c r="K91" s="525">
        <v>2000</v>
      </c>
      <c r="L91" s="525">
        <v>2000</v>
      </c>
      <c r="M91" s="525">
        <v>2000</v>
      </c>
      <c r="N91" s="525">
        <v>2000</v>
      </c>
      <c r="O91" s="525">
        <v>2000</v>
      </c>
      <c r="P91" s="525">
        <v>2000</v>
      </c>
      <c r="Q91" s="525">
        <v>2000</v>
      </c>
      <c r="R91" s="525">
        <v>20000</v>
      </c>
      <c r="S91" s="521">
        <f t="shared" si="35"/>
        <v>42000</v>
      </c>
      <c r="T91" s="525">
        <v>2000</v>
      </c>
      <c r="U91" s="525">
        <v>2000</v>
      </c>
      <c r="V91" s="525">
        <v>2000</v>
      </c>
      <c r="W91" s="525">
        <v>20000</v>
      </c>
    </row>
    <row r="92" spans="1:23" s="501" customFormat="1" ht="12.75" customHeight="1" x14ac:dyDescent="0.25">
      <c r="A92" s="530">
        <v>3831</v>
      </c>
      <c r="B92" s="723" t="s">
        <v>1230</v>
      </c>
      <c r="C92" s="724"/>
      <c r="D92" s="524">
        <f>+E92+F92+G92+H92+I92+J92+K92+M92+T92+U92+V92+W92</f>
        <v>10000</v>
      </c>
      <c r="E92" s="525">
        <v>0</v>
      </c>
      <c r="F92" s="525">
        <v>0</v>
      </c>
      <c r="G92" s="525">
        <v>0</v>
      </c>
      <c r="H92" s="525">
        <v>0</v>
      </c>
      <c r="I92" s="525">
        <v>0</v>
      </c>
      <c r="J92" s="525">
        <v>0</v>
      </c>
      <c r="K92" s="525">
        <v>0</v>
      </c>
      <c r="L92" s="525">
        <v>1600</v>
      </c>
      <c r="M92" s="525">
        <v>2000</v>
      </c>
      <c r="N92" s="525">
        <v>2000</v>
      </c>
      <c r="O92" s="525">
        <v>2000</v>
      </c>
      <c r="P92" s="525">
        <v>2000</v>
      </c>
      <c r="Q92" s="525">
        <v>2000</v>
      </c>
      <c r="R92" s="525">
        <v>2000</v>
      </c>
      <c r="S92" s="521">
        <f t="shared" si="35"/>
        <v>13600</v>
      </c>
      <c r="T92" s="525">
        <v>2000</v>
      </c>
      <c r="U92" s="525">
        <v>2000</v>
      </c>
      <c r="V92" s="525">
        <v>2000</v>
      </c>
      <c r="W92" s="525">
        <v>2000</v>
      </c>
    </row>
    <row r="93" spans="1:23" s="501" customFormat="1" ht="12.75" customHeight="1" x14ac:dyDescent="0.25">
      <c r="A93" s="530">
        <v>3841</v>
      </c>
      <c r="B93" s="723" t="s">
        <v>1231</v>
      </c>
      <c r="C93" s="724"/>
      <c r="D93" s="524">
        <f>+E93+F93+G93+H93+I93+J93+K93+M93+T93+U93+V93+W93</f>
        <v>17000</v>
      </c>
      <c r="E93" s="525">
        <v>0</v>
      </c>
      <c r="F93" s="525">
        <v>0</v>
      </c>
      <c r="G93" s="525">
        <v>0</v>
      </c>
      <c r="H93" s="525">
        <v>0</v>
      </c>
      <c r="I93" s="525">
        <v>0</v>
      </c>
      <c r="J93" s="525">
        <v>0</v>
      </c>
      <c r="K93" s="525">
        <v>0</v>
      </c>
      <c r="L93" s="525">
        <v>0</v>
      </c>
      <c r="M93" s="525">
        <v>0</v>
      </c>
      <c r="N93" s="525">
        <v>17000</v>
      </c>
      <c r="O93" s="525">
        <v>0</v>
      </c>
      <c r="P93" s="525">
        <v>17000</v>
      </c>
      <c r="Q93" s="525">
        <v>0</v>
      </c>
      <c r="R93" s="525">
        <v>0</v>
      </c>
      <c r="S93" s="521">
        <f t="shared" si="35"/>
        <v>34000</v>
      </c>
      <c r="T93" s="525">
        <v>0</v>
      </c>
      <c r="U93" s="525">
        <v>17000</v>
      </c>
      <c r="V93" s="525">
        <v>0</v>
      </c>
      <c r="W93" s="525">
        <v>0</v>
      </c>
    </row>
    <row r="94" spans="1:23" s="501" customFormat="1" ht="12.75" customHeight="1" x14ac:dyDescent="0.25">
      <c r="A94" s="530">
        <v>3851</v>
      </c>
      <c r="B94" s="723" t="s">
        <v>1232</v>
      </c>
      <c r="C94" s="724"/>
      <c r="D94" s="524">
        <f>+E94+F94+G94+H94+I94+J94+K94+M94+T94+U94+V94+W94</f>
        <v>14045.56</v>
      </c>
      <c r="E94" s="525">
        <v>0</v>
      </c>
      <c r="F94" s="525">
        <v>0</v>
      </c>
      <c r="G94" s="525">
        <v>545.55999999999995</v>
      </c>
      <c r="H94" s="525">
        <v>1500</v>
      </c>
      <c r="I94" s="525">
        <v>1500</v>
      </c>
      <c r="J94" s="525">
        <v>1500</v>
      </c>
      <c r="K94" s="525">
        <v>1500</v>
      </c>
      <c r="L94" s="525">
        <v>1500</v>
      </c>
      <c r="M94" s="525">
        <v>1500</v>
      </c>
      <c r="N94" s="525">
        <v>1500</v>
      </c>
      <c r="O94" s="525">
        <v>1500</v>
      </c>
      <c r="P94" s="525">
        <v>1500</v>
      </c>
      <c r="Q94" s="525">
        <v>1500</v>
      </c>
      <c r="R94" s="525">
        <v>1500</v>
      </c>
      <c r="S94" s="521">
        <f t="shared" si="35"/>
        <v>17045.559999999998</v>
      </c>
      <c r="T94" s="525">
        <v>1500</v>
      </c>
      <c r="U94" s="525">
        <v>1500</v>
      </c>
      <c r="V94" s="525">
        <v>1500</v>
      </c>
      <c r="W94" s="525">
        <v>1500</v>
      </c>
    </row>
    <row r="95" spans="1:23" s="501" customFormat="1" ht="12.75" customHeight="1" x14ac:dyDescent="0.25">
      <c r="A95" s="530"/>
      <c r="B95" s="531"/>
      <c r="C95" s="532"/>
      <c r="D95" s="529">
        <f>SUM(D96:D97)</f>
        <v>229900.98</v>
      </c>
      <c r="E95" s="529">
        <f t="shared" ref="E95:W95" si="41">SUM(E96:E97)</f>
        <v>2556.98</v>
      </c>
      <c r="F95" s="529">
        <f t="shared" si="41"/>
        <v>17344</v>
      </c>
      <c r="G95" s="529">
        <f t="shared" si="41"/>
        <v>21000</v>
      </c>
      <c r="H95" s="529">
        <f t="shared" si="41"/>
        <v>21000</v>
      </c>
      <c r="I95" s="529">
        <f t="shared" si="41"/>
        <v>21000</v>
      </c>
      <c r="J95" s="529">
        <f t="shared" si="41"/>
        <v>21000</v>
      </c>
      <c r="K95" s="529">
        <f t="shared" si="41"/>
        <v>21000</v>
      </c>
      <c r="L95" s="529">
        <f t="shared" ref="L95:R95" si="42">SUM(L96:L97)</f>
        <v>21000</v>
      </c>
      <c r="M95" s="529">
        <f t="shared" si="42"/>
        <v>21000</v>
      </c>
      <c r="N95" s="529">
        <f t="shared" si="42"/>
        <v>21000</v>
      </c>
      <c r="O95" s="529">
        <f t="shared" si="42"/>
        <v>21000</v>
      </c>
      <c r="P95" s="529">
        <f t="shared" si="42"/>
        <v>21000</v>
      </c>
      <c r="Q95" s="529">
        <f t="shared" si="42"/>
        <v>21000</v>
      </c>
      <c r="R95" s="529">
        <f t="shared" si="42"/>
        <v>21000</v>
      </c>
      <c r="S95" s="521">
        <f t="shared" si="35"/>
        <v>271900.98</v>
      </c>
      <c r="T95" s="529">
        <f t="shared" si="41"/>
        <v>21000</v>
      </c>
      <c r="U95" s="529">
        <f t="shared" si="41"/>
        <v>21000</v>
      </c>
      <c r="V95" s="529">
        <f t="shared" si="41"/>
        <v>21000</v>
      </c>
      <c r="W95" s="529">
        <f t="shared" si="41"/>
        <v>21000</v>
      </c>
    </row>
    <row r="96" spans="1:23" s="501" customFormat="1" ht="16.5" customHeight="1" x14ac:dyDescent="0.25">
      <c r="A96" s="530">
        <v>3981</v>
      </c>
      <c r="B96" s="723" t="s">
        <v>1233</v>
      </c>
      <c r="C96" s="724"/>
      <c r="D96" s="524">
        <f>+E96+F96+G96+H96+I96+J96+K96+M96+T96+U96+V96+W96</f>
        <v>218125</v>
      </c>
      <c r="E96" s="525">
        <v>1606</v>
      </c>
      <c r="F96" s="525">
        <v>16519</v>
      </c>
      <c r="G96" s="525">
        <v>20000</v>
      </c>
      <c r="H96" s="525">
        <v>20000</v>
      </c>
      <c r="I96" s="525">
        <v>20000</v>
      </c>
      <c r="J96" s="525">
        <v>20000</v>
      </c>
      <c r="K96" s="525">
        <v>20000</v>
      </c>
      <c r="L96" s="525">
        <v>20000</v>
      </c>
      <c r="M96" s="525">
        <v>20000</v>
      </c>
      <c r="N96" s="525">
        <v>20000</v>
      </c>
      <c r="O96" s="525">
        <v>20000</v>
      </c>
      <c r="P96" s="525">
        <v>20000</v>
      </c>
      <c r="Q96" s="525">
        <v>20000</v>
      </c>
      <c r="R96" s="525">
        <v>20000</v>
      </c>
      <c r="S96" s="521">
        <f t="shared" si="35"/>
        <v>258125</v>
      </c>
      <c r="T96" s="525">
        <v>20000</v>
      </c>
      <c r="U96" s="525">
        <v>20000</v>
      </c>
      <c r="V96" s="525">
        <v>20000</v>
      </c>
      <c r="W96" s="525">
        <v>20000</v>
      </c>
    </row>
    <row r="97" spans="1:23" s="501" customFormat="1" ht="12.75" customHeight="1" x14ac:dyDescent="0.25">
      <c r="A97" s="530">
        <v>3991</v>
      </c>
      <c r="B97" s="723" t="s">
        <v>1234</v>
      </c>
      <c r="C97" s="724"/>
      <c r="D97" s="524">
        <f>+E97+F97+G97+H97+I97+J97+K97+M97+T97+U97+V97+W97</f>
        <v>11775.98</v>
      </c>
      <c r="E97" s="525">
        <v>950.98</v>
      </c>
      <c r="F97" s="525">
        <v>825</v>
      </c>
      <c r="G97" s="525">
        <v>1000</v>
      </c>
      <c r="H97" s="525">
        <v>1000</v>
      </c>
      <c r="I97" s="525">
        <v>1000</v>
      </c>
      <c r="J97" s="525">
        <v>1000</v>
      </c>
      <c r="K97" s="525">
        <v>1000</v>
      </c>
      <c r="L97" s="525">
        <v>1000</v>
      </c>
      <c r="M97" s="525">
        <v>1000</v>
      </c>
      <c r="N97" s="525">
        <v>1000</v>
      </c>
      <c r="O97" s="525">
        <v>1000</v>
      </c>
      <c r="P97" s="525">
        <v>1000</v>
      </c>
      <c r="Q97" s="525">
        <v>1000</v>
      </c>
      <c r="R97" s="525">
        <v>1000</v>
      </c>
      <c r="S97" s="521">
        <f t="shared" si="35"/>
        <v>13775.98</v>
      </c>
      <c r="T97" s="525">
        <v>1000</v>
      </c>
      <c r="U97" s="525">
        <v>1000</v>
      </c>
      <c r="V97" s="525">
        <v>1000</v>
      </c>
      <c r="W97" s="525">
        <v>1000</v>
      </c>
    </row>
    <row r="98" spans="1:23" s="501" customFormat="1" ht="12.75" customHeight="1" x14ac:dyDescent="0.25">
      <c r="A98" s="530"/>
      <c r="B98" s="531"/>
      <c r="C98" s="532"/>
      <c r="D98" s="529">
        <f>+D99+D103</f>
        <v>75000</v>
      </c>
      <c r="E98" s="529">
        <f t="shared" ref="E98:W98" si="43">+E99+E103</f>
        <v>0</v>
      </c>
      <c r="F98" s="529">
        <f t="shared" si="43"/>
        <v>0</v>
      </c>
      <c r="G98" s="529">
        <f t="shared" si="43"/>
        <v>25000</v>
      </c>
      <c r="H98" s="529">
        <f t="shared" si="43"/>
        <v>25000</v>
      </c>
      <c r="I98" s="529">
        <f t="shared" si="43"/>
        <v>10000</v>
      </c>
      <c r="J98" s="529">
        <f t="shared" si="43"/>
        <v>5000</v>
      </c>
      <c r="K98" s="529">
        <f t="shared" si="43"/>
        <v>0</v>
      </c>
      <c r="L98" s="529">
        <f t="shared" ref="L98:R98" si="44">+L99+L103</f>
        <v>5000</v>
      </c>
      <c r="M98" s="529">
        <f t="shared" si="44"/>
        <v>0</v>
      </c>
      <c r="N98" s="529">
        <f t="shared" si="44"/>
        <v>5000</v>
      </c>
      <c r="O98" s="529">
        <f t="shared" si="44"/>
        <v>0</v>
      </c>
      <c r="P98" s="529">
        <f t="shared" si="44"/>
        <v>5000</v>
      </c>
      <c r="Q98" s="529">
        <f t="shared" si="44"/>
        <v>0</v>
      </c>
      <c r="R98" s="529">
        <f t="shared" si="44"/>
        <v>5000</v>
      </c>
      <c r="S98" s="521">
        <f t="shared" si="35"/>
        <v>85000</v>
      </c>
      <c r="T98" s="529">
        <f t="shared" si="43"/>
        <v>0</v>
      </c>
      <c r="U98" s="529">
        <f t="shared" si="43"/>
        <v>5000</v>
      </c>
      <c r="V98" s="529">
        <f t="shared" si="43"/>
        <v>0</v>
      </c>
      <c r="W98" s="529">
        <f t="shared" si="43"/>
        <v>5000</v>
      </c>
    </row>
    <row r="99" spans="1:23" s="501" customFormat="1" ht="12.75" customHeight="1" x14ac:dyDescent="0.25">
      <c r="A99" s="530"/>
      <c r="B99" s="531"/>
      <c r="C99" s="532"/>
      <c r="D99" s="529">
        <f>SUM(D100:D101)</f>
        <v>55000</v>
      </c>
      <c r="E99" s="529">
        <f t="shared" ref="E99:W99" si="45">SUM(E100:E101)</f>
        <v>0</v>
      </c>
      <c r="F99" s="529">
        <f t="shared" si="45"/>
        <v>0</v>
      </c>
      <c r="G99" s="529">
        <f t="shared" si="45"/>
        <v>25000</v>
      </c>
      <c r="H99" s="529">
        <f t="shared" si="45"/>
        <v>5000</v>
      </c>
      <c r="I99" s="529">
        <f t="shared" si="45"/>
        <v>10000</v>
      </c>
      <c r="J99" s="529">
        <f t="shared" si="45"/>
        <v>5000</v>
      </c>
      <c r="K99" s="529">
        <f t="shared" si="45"/>
        <v>0</v>
      </c>
      <c r="L99" s="529">
        <f t="shared" ref="L99:R99" si="46">SUM(L100:L101)</f>
        <v>5000</v>
      </c>
      <c r="M99" s="529">
        <f t="shared" si="46"/>
        <v>0</v>
      </c>
      <c r="N99" s="529">
        <f t="shared" si="46"/>
        <v>5000</v>
      </c>
      <c r="O99" s="529">
        <f t="shared" si="46"/>
        <v>0</v>
      </c>
      <c r="P99" s="529">
        <f t="shared" si="46"/>
        <v>5000</v>
      </c>
      <c r="Q99" s="529">
        <f t="shared" si="46"/>
        <v>0</v>
      </c>
      <c r="R99" s="529">
        <f t="shared" si="46"/>
        <v>5000</v>
      </c>
      <c r="S99" s="521">
        <f t="shared" si="35"/>
        <v>65000</v>
      </c>
      <c r="T99" s="529">
        <f t="shared" si="45"/>
        <v>0</v>
      </c>
      <c r="U99" s="529">
        <f t="shared" si="45"/>
        <v>5000</v>
      </c>
      <c r="V99" s="529">
        <f t="shared" si="45"/>
        <v>0</v>
      </c>
      <c r="W99" s="529">
        <f t="shared" si="45"/>
        <v>5000</v>
      </c>
    </row>
    <row r="100" spans="1:23" s="501" customFormat="1" ht="12.75" customHeight="1" x14ac:dyDescent="0.25">
      <c r="A100" s="530">
        <v>5111</v>
      </c>
      <c r="B100" s="723" t="s">
        <v>1235</v>
      </c>
      <c r="C100" s="724"/>
      <c r="D100" s="524">
        <f>+E100+F100+G100+H100+I100+J100+K100+M100+T100+U100+V100+W100</f>
        <v>20000</v>
      </c>
      <c r="E100" s="525">
        <v>0</v>
      </c>
      <c r="F100" s="525">
        <v>0</v>
      </c>
      <c r="G100" s="525">
        <v>0</v>
      </c>
      <c r="H100" s="525">
        <v>5000</v>
      </c>
      <c r="I100" s="525">
        <v>0</v>
      </c>
      <c r="J100" s="525">
        <v>5000</v>
      </c>
      <c r="K100" s="525">
        <v>0</v>
      </c>
      <c r="L100" s="525">
        <v>5000</v>
      </c>
      <c r="M100" s="525">
        <v>0</v>
      </c>
      <c r="N100" s="525">
        <v>5000</v>
      </c>
      <c r="O100" s="525">
        <v>0</v>
      </c>
      <c r="P100" s="525">
        <v>5000</v>
      </c>
      <c r="Q100" s="525">
        <v>0</v>
      </c>
      <c r="R100" s="525">
        <v>5000</v>
      </c>
      <c r="S100" s="521">
        <f t="shared" si="35"/>
        <v>30000</v>
      </c>
      <c r="T100" s="525">
        <v>0</v>
      </c>
      <c r="U100" s="525">
        <v>5000</v>
      </c>
      <c r="V100" s="525">
        <v>0</v>
      </c>
      <c r="W100" s="525">
        <v>5000</v>
      </c>
    </row>
    <row r="101" spans="1:23" s="501" customFormat="1" ht="12.75" customHeight="1" x14ac:dyDescent="0.25">
      <c r="A101" s="530">
        <v>5151</v>
      </c>
      <c r="B101" s="723" t="s">
        <v>1236</v>
      </c>
      <c r="C101" s="724"/>
      <c r="D101" s="524">
        <f>+E101+F101+G101+H101+I101+J101+K101+M101+T101+U101+V101+W101</f>
        <v>35000</v>
      </c>
      <c r="E101" s="525">
        <v>0</v>
      </c>
      <c r="F101" s="525">
        <v>0</v>
      </c>
      <c r="G101" s="525">
        <v>25000</v>
      </c>
      <c r="H101" s="525">
        <v>0</v>
      </c>
      <c r="I101" s="525">
        <v>10000</v>
      </c>
      <c r="J101" s="525">
        <v>0</v>
      </c>
      <c r="K101" s="525">
        <v>0</v>
      </c>
      <c r="L101" s="525">
        <v>0</v>
      </c>
      <c r="M101" s="525">
        <v>0</v>
      </c>
      <c r="N101" s="525">
        <v>0</v>
      </c>
      <c r="O101" s="525">
        <v>0</v>
      </c>
      <c r="P101" s="525">
        <v>0</v>
      </c>
      <c r="Q101" s="525">
        <v>0</v>
      </c>
      <c r="R101" s="525">
        <v>0</v>
      </c>
      <c r="S101" s="521">
        <f t="shared" si="35"/>
        <v>35000</v>
      </c>
      <c r="T101" s="525">
        <v>0</v>
      </c>
      <c r="U101" s="525">
        <v>0</v>
      </c>
      <c r="V101" s="525">
        <v>0</v>
      </c>
      <c r="W101" s="525">
        <v>0</v>
      </c>
    </row>
    <row r="102" spans="1:23" s="501" customFormat="1" ht="12.75" customHeight="1" x14ac:dyDescent="0.25">
      <c r="A102" s="530"/>
      <c r="B102" s="531"/>
      <c r="C102" s="532"/>
      <c r="D102" s="524"/>
      <c r="E102" s="525"/>
      <c r="F102" s="525"/>
      <c r="G102" s="525"/>
      <c r="H102" s="525"/>
      <c r="I102" s="525"/>
      <c r="J102" s="525"/>
      <c r="K102" s="525"/>
      <c r="L102" s="525"/>
      <c r="M102" s="525"/>
      <c r="N102" s="525"/>
      <c r="O102" s="525"/>
      <c r="P102" s="525"/>
      <c r="Q102" s="525"/>
      <c r="R102" s="525"/>
      <c r="S102" s="521">
        <f t="shared" si="35"/>
        <v>0</v>
      </c>
      <c r="T102" s="525"/>
      <c r="U102" s="525"/>
      <c r="V102" s="525"/>
      <c r="W102" s="525"/>
    </row>
    <row r="103" spans="1:23" s="501" customFormat="1" ht="12.75" customHeight="1" x14ac:dyDescent="0.25">
      <c r="A103" s="533">
        <v>5911</v>
      </c>
      <c r="B103" s="725" t="s">
        <v>1237</v>
      </c>
      <c r="C103" s="726"/>
      <c r="D103" s="524">
        <f>+E103+F103+G103+H103+I103+J103+K103+M103+T103+U103+V103+W103</f>
        <v>20000</v>
      </c>
      <c r="E103" s="525">
        <v>0</v>
      </c>
      <c r="F103" s="525">
        <v>0</v>
      </c>
      <c r="G103" s="525">
        <v>0</v>
      </c>
      <c r="H103" s="525">
        <v>20000</v>
      </c>
      <c r="I103" s="525">
        <v>0</v>
      </c>
      <c r="J103" s="525">
        <v>0</v>
      </c>
      <c r="K103" s="525">
        <v>0</v>
      </c>
      <c r="L103" s="525">
        <v>0</v>
      </c>
      <c r="M103" s="525">
        <v>0</v>
      </c>
      <c r="N103" s="525">
        <v>0</v>
      </c>
      <c r="O103" s="525">
        <v>0</v>
      </c>
      <c r="P103" s="525">
        <v>0</v>
      </c>
      <c r="Q103" s="525">
        <v>0</v>
      </c>
      <c r="R103" s="525">
        <v>0</v>
      </c>
      <c r="S103" s="521">
        <f t="shared" si="35"/>
        <v>20000</v>
      </c>
      <c r="T103" s="525">
        <v>0</v>
      </c>
      <c r="U103" s="525">
        <v>0</v>
      </c>
      <c r="V103" s="525">
        <v>0</v>
      </c>
      <c r="W103" s="525">
        <v>0</v>
      </c>
    </row>
    <row r="104" spans="1:23" s="501" customFormat="1" ht="6.75" customHeight="1" x14ac:dyDescent="0.25">
      <c r="A104" s="514"/>
      <c r="B104" s="514"/>
      <c r="C104" s="514"/>
      <c r="D104" s="534"/>
      <c r="S104" s="521">
        <f t="shared" si="35"/>
        <v>0</v>
      </c>
    </row>
    <row r="105" spans="1:23" s="501" customFormat="1" ht="14.25" customHeight="1" x14ac:dyDescent="0.25">
      <c r="A105" s="720" t="s">
        <v>867</v>
      </c>
      <c r="B105" s="721"/>
      <c r="C105" s="722"/>
      <c r="D105" s="535">
        <f>D14+D24+D51+D98</f>
        <v>15916021.459999997</v>
      </c>
      <c r="E105" s="535">
        <f t="shared" ref="E105:W105" si="47">E14+E24+E51+E98</f>
        <v>1144608.73</v>
      </c>
      <c r="F105" s="535">
        <f t="shared" si="47"/>
        <v>1100964.67</v>
      </c>
      <c r="G105" s="535">
        <f t="shared" si="47"/>
        <v>1396368.5699999998</v>
      </c>
      <c r="H105" s="535">
        <f t="shared" si="47"/>
        <v>1191923.01</v>
      </c>
      <c r="I105" s="535">
        <f t="shared" si="47"/>
        <v>1493835.0899999999</v>
      </c>
      <c r="J105" s="535">
        <f t="shared" si="47"/>
        <v>1283923.01</v>
      </c>
      <c r="K105" s="535">
        <f t="shared" si="47"/>
        <v>1208923.01</v>
      </c>
      <c r="L105" s="535">
        <f t="shared" si="47"/>
        <v>1247523.01</v>
      </c>
      <c r="M105" s="535">
        <f t="shared" si="47"/>
        <v>1206923.01</v>
      </c>
      <c r="N105" s="535">
        <f t="shared" si="47"/>
        <v>1202923.01</v>
      </c>
      <c r="O105" s="535">
        <f t="shared" si="47"/>
        <v>1206923.01</v>
      </c>
      <c r="P105" s="535">
        <f t="shared" si="47"/>
        <v>1202923.01</v>
      </c>
      <c r="Q105" s="535">
        <f t="shared" si="47"/>
        <v>1449335.0899999999</v>
      </c>
      <c r="R105" s="535">
        <f t="shared" si="47"/>
        <v>2029371.2499999998</v>
      </c>
      <c r="S105" s="535">
        <f t="shared" si="47"/>
        <v>18366467.48</v>
      </c>
      <c r="T105" s="535">
        <f t="shared" si="47"/>
        <v>1206923.01</v>
      </c>
      <c r="U105" s="535">
        <f t="shared" si="47"/>
        <v>1202923.01</v>
      </c>
      <c r="V105" s="535">
        <f t="shared" si="47"/>
        <v>1449335.0899999999</v>
      </c>
      <c r="W105" s="535">
        <f t="shared" si="47"/>
        <v>2029371.2499999998</v>
      </c>
    </row>
    <row r="106" spans="1:23" s="501" customFormat="1" ht="14.25" customHeight="1" x14ac:dyDescent="0.25">
      <c r="A106" s="536"/>
      <c r="B106" s="536"/>
      <c r="C106" s="536"/>
      <c r="D106" s="537"/>
      <c r="E106" s="538"/>
      <c r="F106" s="538"/>
      <c r="G106" s="538"/>
      <c r="H106" s="538"/>
      <c r="I106" s="538"/>
      <c r="J106" s="538"/>
      <c r="K106" s="538"/>
      <c r="L106" s="538"/>
      <c r="M106" s="538"/>
      <c r="N106" s="538"/>
      <c r="O106" s="538"/>
      <c r="P106" s="538"/>
      <c r="Q106" s="538"/>
      <c r="R106" s="538"/>
      <c r="S106" s="538"/>
      <c r="T106" s="538"/>
      <c r="U106" s="538"/>
      <c r="V106" s="538"/>
      <c r="W106" s="538"/>
    </row>
    <row r="107" spans="1:23" s="501" customFormat="1" ht="16.5" customHeight="1" x14ac:dyDescent="0.25">
      <c r="A107" s="536"/>
      <c r="B107" s="536"/>
      <c r="C107" s="536"/>
      <c r="E107" s="514"/>
      <c r="F107" s="514"/>
      <c r="G107" s="514"/>
      <c r="H107" s="514"/>
      <c r="I107" s="514"/>
      <c r="J107" s="514"/>
      <c r="K107" s="514"/>
      <c r="L107" s="514"/>
      <c r="M107" s="514"/>
      <c r="N107" s="514"/>
      <c r="O107" s="514"/>
      <c r="P107" s="514"/>
      <c r="Q107" s="514"/>
      <c r="R107" s="514"/>
      <c r="S107" s="514"/>
      <c r="T107" s="514"/>
      <c r="U107" s="514"/>
      <c r="V107" s="514"/>
      <c r="W107" s="514"/>
    </row>
    <row r="108" spans="1:23" s="501" customFormat="1" ht="12.75" customHeight="1" x14ac:dyDescent="0.25">
      <c r="A108" s="536"/>
      <c r="B108" s="536"/>
      <c r="C108" s="536"/>
      <c r="D108" s="539"/>
      <c r="E108" s="514"/>
      <c r="F108" s="514"/>
      <c r="G108" s="514"/>
      <c r="H108" s="514"/>
      <c r="I108" s="514"/>
      <c r="J108" s="514"/>
      <c r="K108" s="514"/>
      <c r="L108" s="514"/>
      <c r="M108" s="514"/>
      <c r="N108" s="514"/>
      <c r="O108" s="514"/>
      <c r="P108" s="514"/>
      <c r="Q108" s="514"/>
      <c r="R108" s="514"/>
      <c r="S108" s="514"/>
      <c r="T108" s="514"/>
      <c r="U108" s="514"/>
      <c r="V108" s="514"/>
      <c r="W108" s="514"/>
    </row>
    <row r="109" spans="1:23" s="501" customFormat="1" ht="12.75" customHeight="1" x14ac:dyDescent="0.25">
      <c r="A109" s="536"/>
      <c r="B109" s="536"/>
      <c r="C109" s="536"/>
      <c r="D109" s="539"/>
      <c r="E109" s="514"/>
      <c r="F109" s="514"/>
      <c r="G109" s="514"/>
      <c r="H109" s="514"/>
      <c r="I109" s="514"/>
      <c r="J109" s="514"/>
      <c r="K109" s="514"/>
      <c r="L109" s="514"/>
      <c r="M109" s="514"/>
      <c r="N109" s="514"/>
      <c r="O109" s="514"/>
      <c r="P109" s="514"/>
      <c r="Q109" s="514"/>
      <c r="R109" s="514"/>
      <c r="S109" s="514"/>
      <c r="T109" s="514"/>
      <c r="U109" s="514"/>
      <c r="V109" s="514"/>
      <c r="W109" s="514"/>
    </row>
    <row r="110" spans="1:23" s="501" customFormat="1" ht="12.75" customHeight="1" x14ac:dyDescent="0.25">
      <c r="A110" s="536"/>
      <c r="B110" s="536"/>
      <c r="C110" s="536"/>
      <c r="D110" s="539"/>
      <c r="E110" s="514"/>
      <c r="F110" s="514"/>
      <c r="G110" s="514"/>
      <c r="H110" s="514"/>
      <c r="I110" s="514"/>
      <c r="J110" s="514"/>
      <c r="K110" s="514"/>
      <c r="L110" s="514"/>
      <c r="M110" s="514"/>
      <c r="N110" s="514"/>
      <c r="O110" s="514"/>
      <c r="P110" s="514"/>
      <c r="Q110" s="514"/>
      <c r="R110" s="514"/>
      <c r="S110" s="514"/>
      <c r="T110" s="514"/>
      <c r="U110" s="514"/>
      <c r="V110" s="514"/>
      <c r="W110" s="514"/>
    </row>
    <row r="111" spans="1:23" s="501" customFormat="1" ht="12.75" customHeight="1" x14ac:dyDescent="0.25">
      <c r="A111" s="536"/>
      <c r="B111" s="536"/>
      <c r="C111" s="536"/>
      <c r="D111" s="539"/>
      <c r="E111" s="514"/>
      <c r="F111" s="514"/>
      <c r="G111" s="514"/>
      <c r="H111" s="514"/>
      <c r="I111" s="514"/>
      <c r="J111" s="514"/>
      <c r="K111" s="514"/>
      <c r="L111" s="514"/>
      <c r="M111" s="514"/>
      <c r="N111" s="514"/>
      <c r="O111" s="514"/>
      <c r="P111" s="514"/>
      <c r="Q111" s="514"/>
      <c r="R111" s="514"/>
      <c r="S111" s="514"/>
      <c r="T111" s="514"/>
      <c r="U111" s="514"/>
      <c r="V111" s="514"/>
      <c r="W111" s="514"/>
    </row>
    <row r="112" spans="1:23" s="501" customFormat="1" ht="6" customHeight="1" x14ac:dyDescent="0.25">
      <c r="A112" s="514"/>
      <c r="B112" s="514"/>
      <c r="C112" s="514"/>
      <c r="D112" s="514"/>
    </row>
    <row r="113" spans="1:4" s="501" customFormat="1" x14ac:dyDescent="0.25">
      <c r="A113" s="514"/>
      <c r="B113" s="514"/>
      <c r="C113" s="514"/>
      <c r="D113" s="514"/>
    </row>
    <row r="114" spans="1:4" s="501" customFormat="1" x14ac:dyDescent="0.25">
      <c r="A114" s="514"/>
      <c r="B114" s="514"/>
      <c r="C114" s="514"/>
      <c r="D114" s="514"/>
    </row>
    <row r="115" spans="1:4" s="501" customFormat="1" x14ac:dyDescent="0.25">
      <c r="A115" s="514"/>
      <c r="B115" s="514"/>
      <c r="C115" s="514"/>
      <c r="D115" s="514"/>
    </row>
    <row r="116" spans="1:4" s="501" customFormat="1" x14ac:dyDescent="0.25"/>
    <row r="117" spans="1:4" s="501" customFormat="1" x14ac:dyDescent="0.25"/>
    <row r="118" spans="1:4" s="501" customFormat="1" x14ac:dyDescent="0.25"/>
    <row r="119" spans="1:4" s="501" customFormat="1" x14ac:dyDescent="0.25"/>
    <row r="120" spans="1:4" s="501" customFormat="1" x14ac:dyDescent="0.25"/>
    <row r="121" spans="1:4" s="501" customFormat="1" x14ac:dyDescent="0.25"/>
    <row r="122" spans="1:4" s="501" customFormat="1" x14ac:dyDescent="0.25"/>
    <row r="123" spans="1:4" s="501" customFormat="1" x14ac:dyDescent="0.25"/>
  </sheetData>
  <mergeCells count="72"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R212"/>
  <sheetViews>
    <sheetView showGridLines="0" topLeftCell="D10" zoomScaleNormal="100" workbookViewId="0">
      <selection activeCell="D4" sqref="D4:R4"/>
    </sheetView>
  </sheetViews>
  <sheetFormatPr baseColWidth="10" defaultRowHeight="14.25" x14ac:dyDescent="0.2"/>
  <cols>
    <col min="1" max="1" width="3.140625" style="8" hidden="1" customWidth="1"/>
    <col min="2" max="2" width="3.42578125" style="8" hidden="1" customWidth="1"/>
    <col min="3" max="3" width="4.85546875" style="8" hidden="1" customWidth="1"/>
    <col min="4" max="4" width="53.7109375" style="12" customWidth="1"/>
    <col min="5" max="6" width="9.7109375" style="12" hidden="1" customWidth="1"/>
    <col min="7" max="7" width="12.140625" style="12" customWidth="1"/>
    <col min="8" max="8" width="10.28515625" style="12" customWidth="1"/>
    <col min="9" max="9" width="7.140625" style="12" customWidth="1"/>
    <col min="10" max="10" width="3.85546875" style="12" hidden="1" customWidth="1"/>
    <col min="11" max="12" width="5.140625" style="12" hidden="1" customWidth="1"/>
    <col min="13" max="13" width="61.5703125" style="6" customWidth="1"/>
    <col min="14" max="14" width="10.7109375" style="6" hidden="1" customWidth="1"/>
    <col min="15" max="15" width="9.85546875" style="6" hidden="1" customWidth="1"/>
    <col min="16" max="16" width="9.28515625" style="6" customWidth="1"/>
    <col min="17" max="17" width="10.28515625" style="12" customWidth="1"/>
    <col min="18" max="16384" width="11.42578125" style="12"/>
  </cols>
  <sheetData>
    <row r="2" spans="1:18" ht="19.5" customHeight="1" x14ac:dyDescent="0.3">
      <c r="A2" s="368"/>
      <c r="B2" s="368"/>
      <c r="C2" s="368"/>
      <c r="D2" s="569" t="s">
        <v>38</v>
      </c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1"/>
    </row>
    <row r="3" spans="1:18" ht="15" customHeight="1" x14ac:dyDescent="0.25">
      <c r="A3" s="367"/>
      <c r="B3" s="367"/>
      <c r="C3" s="367"/>
      <c r="D3" s="572" t="str">
        <f>BALANZA!Q9</f>
        <v>Cuenta Pública 2016</v>
      </c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4"/>
    </row>
    <row r="4" spans="1:18" ht="14.25" customHeight="1" x14ac:dyDescent="0.2">
      <c r="A4" s="366"/>
      <c r="B4" s="366"/>
      <c r="C4" s="366"/>
      <c r="D4" s="575" t="s">
        <v>161</v>
      </c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7"/>
    </row>
    <row r="5" spans="1:18" ht="14.25" customHeight="1" x14ac:dyDescent="0.2">
      <c r="A5" s="366"/>
      <c r="B5" s="366"/>
      <c r="C5" s="366"/>
      <c r="D5" s="575" t="str">
        <f>BALANZA!Q7</f>
        <v>Del 1° de Enero al 31 de marzo de 2016 y 2015</v>
      </c>
      <c r="E5" s="576"/>
      <c r="F5" s="576"/>
      <c r="G5" s="576"/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7"/>
    </row>
    <row r="6" spans="1:18" ht="14.25" customHeight="1" x14ac:dyDescent="0.2">
      <c r="A6" s="366"/>
      <c r="B6" s="366"/>
      <c r="C6" s="366"/>
      <c r="D6" s="575" t="s">
        <v>0</v>
      </c>
      <c r="E6" s="576"/>
      <c r="F6" s="576"/>
      <c r="G6" s="576"/>
      <c r="H6" s="576"/>
      <c r="I6" s="576"/>
      <c r="J6" s="576"/>
      <c r="K6" s="576"/>
      <c r="L6" s="576"/>
      <c r="M6" s="576"/>
      <c r="N6" s="576"/>
      <c r="O6" s="576"/>
      <c r="P6" s="576"/>
      <c r="Q6" s="576"/>
      <c r="R6" s="577"/>
    </row>
    <row r="7" spans="1:18" ht="14.25" customHeight="1" x14ac:dyDescent="0.2">
      <c r="A7" s="52"/>
      <c r="B7" s="52"/>
      <c r="C7" s="52"/>
      <c r="D7" s="566" t="str">
        <f>BALANZA!Q5</f>
        <v>EL COLEGIO DE TLAXCALA, A.C.</v>
      </c>
      <c r="E7" s="567"/>
      <c r="F7" s="567"/>
      <c r="G7" s="567"/>
      <c r="H7" s="567"/>
      <c r="I7" s="567"/>
      <c r="J7" s="567"/>
      <c r="K7" s="567"/>
      <c r="L7" s="567"/>
      <c r="M7" s="567"/>
      <c r="N7" s="567"/>
      <c r="O7" s="567"/>
      <c r="P7" s="567"/>
      <c r="Q7" s="567"/>
      <c r="R7" s="568"/>
    </row>
    <row r="8" spans="1:18" x14ac:dyDescent="0.2">
      <c r="A8" s="14"/>
      <c r="B8" s="14"/>
      <c r="C8" s="14"/>
      <c r="D8" s="312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87"/>
      <c r="R8" s="313"/>
    </row>
    <row r="9" spans="1:18" ht="12.75" hidden="1" customHeight="1" x14ac:dyDescent="0.2">
      <c r="A9" s="5" t="s">
        <v>12</v>
      </c>
      <c r="B9" s="5" t="s">
        <v>5</v>
      </c>
      <c r="C9" s="5" t="s">
        <v>36</v>
      </c>
      <c r="D9" s="314" t="s">
        <v>95</v>
      </c>
      <c r="E9" s="395" t="s">
        <v>6</v>
      </c>
      <c r="F9" s="395" t="s">
        <v>8</v>
      </c>
      <c r="G9" s="315" t="s">
        <v>22</v>
      </c>
      <c r="H9" s="315" t="s">
        <v>24</v>
      </c>
      <c r="I9" s="315"/>
      <c r="J9" s="315" t="s">
        <v>25</v>
      </c>
      <c r="K9" s="315" t="s">
        <v>33</v>
      </c>
      <c r="L9" s="315" t="s">
        <v>10</v>
      </c>
      <c r="M9" s="315" t="s">
        <v>27</v>
      </c>
      <c r="N9" s="395" t="s">
        <v>157</v>
      </c>
      <c r="O9" s="395" t="s">
        <v>158</v>
      </c>
      <c r="P9" s="315" t="s">
        <v>159</v>
      </c>
      <c r="Q9" s="315" t="s">
        <v>160</v>
      </c>
      <c r="R9" s="316" t="s">
        <v>3</v>
      </c>
    </row>
    <row r="10" spans="1:18" ht="12.75" customHeight="1" x14ac:dyDescent="0.2">
      <c r="A10" s="5"/>
      <c r="B10" s="5"/>
      <c r="C10" s="5"/>
      <c r="D10" s="89" t="s">
        <v>3</v>
      </c>
      <c r="E10" s="71" t="s">
        <v>3</v>
      </c>
      <c r="F10" s="71" t="s">
        <v>3</v>
      </c>
      <c r="G10" s="71" t="s">
        <v>3</v>
      </c>
      <c r="H10" s="71" t="s">
        <v>3</v>
      </c>
      <c r="I10" s="71" t="s">
        <v>3</v>
      </c>
      <c r="J10" s="71" t="s">
        <v>3</v>
      </c>
      <c r="K10" s="71" t="s">
        <v>3</v>
      </c>
      <c r="L10" s="71" t="s">
        <v>3</v>
      </c>
      <c r="M10" s="71" t="s">
        <v>3</v>
      </c>
      <c r="N10" s="71" t="s">
        <v>3</v>
      </c>
      <c r="O10" s="71" t="s">
        <v>3</v>
      </c>
      <c r="P10" s="71" t="s">
        <v>3</v>
      </c>
      <c r="Q10" s="71" t="s">
        <v>3</v>
      </c>
      <c r="R10" s="317" t="s">
        <v>3</v>
      </c>
    </row>
    <row r="11" spans="1:18" ht="12.75" customHeight="1" x14ac:dyDescent="0.2">
      <c r="A11" s="5"/>
      <c r="B11" s="5"/>
      <c r="C11" s="5"/>
      <c r="D11" s="90" t="s">
        <v>40</v>
      </c>
      <c r="E11" s="171">
        <v>2015</v>
      </c>
      <c r="F11" s="171">
        <v>2014</v>
      </c>
      <c r="G11" s="171" t="s">
        <v>155</v>
      </c>
      <c r="H11" s="171" t="s">
        <v>156</v>
      </c>
      <c r="I11" s="171" t="s">
        <v>3</v>
      </c>
      <c r="J11" s="171" t="s">
        <v>3</v>
      </c>
      <c r="K11" s="171" t="s">
        <v>3</v>
      </c>
      <c r="L11" s="171" t="s">
        <v>3</v>
      </c>
      <c r="M11" s="171" t="s">
        <v>40</v>
      </c>
      <c r="N11" s="171">
        <v>2015</v>
      </c>
      <c r="O11" s="171">
        <v>2014</v>
      </c>
      <c r="P11" s="171" t="s">
        <v>155</v>
      </c>
      <c r="Q11" s="171" t="s">
        <v>156</v>
      </c>
      <c r="R11" s="318" t="s">
        <v>3</v>
      </c>
    </row>
    <row r="12" spans="1:18" x14ac:dyDescent="0.2">
      <c r="A12" s="5"/>
      <c r="B12" s="5"/>
      <c r="C12" s="5"/>
      <c r="D12" s="314"/>
      <c r="E12" s="396"/>
      <c r="F12" s="396"/>
      <c r="G12" s="315"/>
      <c r="H12" s="315"/>
      <c r="I12" s="315"/>
      <c r="J12" s="315"/>
      <c r="K12" s="315"/>
      <c r="L12" s="315"/>
      <c r="M12" s="315"/>
      <c r="N12" s="395"/>
      <c r="O12" s="395"/>
      <c r="P12" s="115"/>
      <c r="Q12" s="87"/>
      <c r="R12" s="313"/>
    </row>
    <row r="13" spans="1:18" ht="14.25" customHeight="1" x14ac:dyDescent="0.2">
      <c r="A13" s="5"/>
      <c r="B13" s="5"/>
      <c r="C13" s="5"/>
      <c r="D13" s="390" t="s">
        <v>96</v>
      </c>
      <c r="E13" s="58">
        <f>E15+E25</f>
        <v>8767512.4399999995</v>
      </c>
      <c r="F13" s="58">
        <f>F15+F25</f>
        <v>13156895.939999999</v>
      </c>
      <c r="G13" s="54">
        <f>G15+G25</f>
        <v>-4220687</v>
      </c>
      <c r="H13" s="54">
        <f>H15+H25</f>
        <v>-168696.5</v>
      </c>
      <c r="I13" s="30"/>
      <c r="J13" s="30"/>
      <c r="K13" s="30"/>
      <c r="L13" s="30"/>
      <c r="M13" s="168" t="s">
        <v>1</v>
      </c>
      <c r="N13" s="148">
        <f>+N15+N26</f>
        <v>5381471</v>
      </c>
      <c r="O13" s="148">
        <f>+O15+O26</f>
        <v>10061261</v>
      </c>
      <c r="P13" s="54">
        <f t="shared" ref="P13:Q13" si="0">P15+P25</f>
        <v>-4679790</v>
      </c>
      <c r="Q13" s="54">
        <f t="shared" si="0"/>
        <v>0</v>
      </c>
      <c r="R13" s="319"/>
    </row>
    <row r="14" spans="1:18" x14ac:dyDescent="0.2">
      <c r="A14" s="5"/>
      <c r="B14" s="5"/>
      <c r="C14" s="5"/>
      <c r="D14" s="390"/>
      <c r="E14" s="59"/>
      <c r="F14" s="59"/>
      <c r="G14" s="55"/>
      <c r="H14" s="55"/>
      <c r="I14" s="30"/>
      <c r="J14" s="30"/>
      <c r="K14" s="30"/>
      <c r="L14" s="30"/>
      <c r="M14" s="168"/>
      <c r="N14" s="61"/>
      <c r="O14" s="61"/>
      <c r="P14" s="17"/>
      <c r="Q14" s="17"/>
      <c r="R14" s="319"/>
    </row>
    <row r="15" spans="1:18" ht="14.25" customHeight="1" x14ac:dyDescent="0.2">
      <c r="A15" s="13"/>
      <c r="B15" s="13"/>
      <c r="C15" s="13"/>
      <c r="D15" s="390" t="s">
        <v>97</v>
      </c>
      <c r="E15" s="58">
        <f>SUM(E17:E23)</f>
        <v>5548203</v>
      </c>
      <c r="F15" s="58">
        <f>SUM(F17:F23)</f>
        <v>9755587</v>
      </c>
      <c r="G15" s="54">
        <f>SUM(G17:G23)</f>
        <v>-4220687</v>
      </c>
      <c r="H15" s="54">
        <f>SUM(H17:H23)</f>
        <v>13303</v>
      </c>
      <c r="I15" s="30"/>
      <c r="J15" s="30"/>
      <c r="K15" s="30"/>
      <c r="L15" s="30"/>
      <c r="M15" s="168" t="s">
        <v>98</v>
      </c>
      <c r="N15" s="147">
        <f>SUM(N16:N24)</f>
        <v>5381471</v>
      </c>
      <c r="O15" s="147">
        <f>SUM(O16:O24)</f>
        <v>10061261</v>
      </c>
      <c r="P15" s="54">
        <f>SUM(P17:P24)</f>
        <v>-4679790</v>
      </c>
      <c r="Q15" s="54">
        <f>SUM(Q17:Q24)</f>
        <v>0</v>
      </c>
      <c r="R15" s="319"/>
    </row>
    <row r="16" spans="1:18" x14ac:dyDescent="0.2">
      <c r="A16" s="13"/>
      <c r="B16" s="13"/>
      <c r="C16" s="13"/>
      <c r="D16" s="390"/>
      <c r="E16" s="59"/>
      <c r="F16" s="59"/>
      <c r="G16" s="55"/>
      <c r="H16" s="55"/>
      <c r="I16" s="30"/>
      <c r="J16" s="30"/>
      <c r="K16" s="30"/>
      <c r="L16" s="30"/>
      <c r="M16" s="168"/>
      <c r="N16" s="61"/>
      <c r="O16" s="61"/>
      <c r="P16" s="33"/>
      <c r="Q16" s="33"/>
      <c r="R16" s="319"/>
    </row>
    <row r="17" spans="1:18" ht="14.25" customHeight="1" x14ac:dyDescent="0.2">
      <c r="A17" s="8">
        <v>1</v>
      </c>
      <c r="B17" s="8">
        <v>1</v>
      </c>
      <c r="C17" s="8">
        <v>1</v>
      </c>
      <c r="D17" s="397" t="s">
        <v>99</v>
      </c>
      <c r="E17" s="60">
        <f>BALANZA!J5</f>
        <v>5518945</v>
      </c>
      <c r="F17" s="60">
        <f>BALANZA!G5</f>
        <v>9739632</v>
      </c>
      <c r="G17" s="56">
        <f>E17-F17</f>
        <v>-4220687</v>
      </c>
      <c r="H17" s="56">
        <v>0</v>
      </c>
      <c r="I17" s="30"/>
      <c r="J17" s="117">
        <v>2</v>
      </c>
      <c r="K17" s="117">
        <v>1</v>
      </c>
      <c r="L17" s="117">
        <v>1</v>
      </c>
      <c r="M17" s="57" t="s">
        <v>100</v>
      </c>
      <c r="N17" s="62">
        <f>BALANZA!J248</f>
        <v>5216999</v>
      </c>
      <c r="O17" s="62">
        <f>BALANZA!G248</f>
        <v>9750399</v>
      </c>
      <c r="P17" s="21">
        <f>N17-O17</f>
        <v>-4533400</v>
      </c>
      <c r="Q17" s="21">
        <v>0</v>
      </c>
      <c r="R17" s="319"/>
    </row>
    <row r="18" spans="1:18" ht="14.25" customHeight="1" x14ac:dyDescent="0.2">
      <c r="A18" s="8">
        <v>1</v>
      </c>
      <c r="B18" s="8">
        <v>1</v>
      </c>
      <c r="C18" s="8">
        <v>2</v>
      </c>
      <c r="D18" s="397" t="s">
        <v>101</v>
      </c>
      <c r="E18" s="60">
        <f>BALANZA!J39</f>
        <v>29258</v>
      </c>
      <c r="F18" s="60">
        <f>BALANZA!G39</f>
        <v>15955</v>
      </c>
      <c r="G18" s="56">
        <v>0</v>
      </c>
      <c r="H18" s="56">
        <f>E18-F18</f>
        <v>13303</v>
      </c>
      <c r="I18" s="30"/>
      <c r="J18" s="117">
        <v>2</v>
      </c>
      <c r="K18" s="117">
        <v>1</v>
      </c>
      <c r="L18" s="117">
        <v>2</v>
      </c>
      <c r="M18" s="57" t="s">
        <v>102</v>
      </c>
      <c r="N18" s="62">
        <f>BALANZA!J290</f>
        <v>0</v>
      </c>
      <c r="O18" s="62">
        <f>BALANZA!O290</f>
        <v>0</v>
      </c>
      <c r="P18" s="21">
        <v>0</v>
      </c>
      <c r="Q18" s="21">
        <v>0</v>
      </c>
      <c r="R18" s="319"/>
    </row>
    <row r="19" spans="1:18" ht="14.25" customHeight="1" x14ac:dyDescent="0.2">
      <c r="A19" s="8">
        <v>1</v>
      </c>
      <c r="B19" s="8">
        <v>1</v>
      </c>
      <c r="C19" s="8">
        <v>3</v>
      </c>
      <c r="D19" s="397" t="s">
        <v>103</v>
      </c>
      <c r="E19" s="60">
        <v>0</v>
      </c>
      <c r="F19" s="60">
        <v>0</v>
      </c>
      <c r="G19" s="56">
        <v>0</v>
      </c>
      <c r="H19" s="56">
        <v>0</v>
      </c>
      <c r="I19" s="30"/>
      <c r="J19" s="117">
        <v>2</v>
      </c>
      <c r="K19" s="117">
        <v>1</v>
      </c>
      <c r="L19" s="117">
        <v>3</v>
      </c>
      <c r="M19" s="57" t="s">
        <v>104</v>
      </c>
      <c r="N19" s="62">
        <v>0</v>
      </c>
      <c r="O19" s="62">
        <v>0</v>
      </c>
      <c r="P19" s="21">
        <v>0</v>
      </c>
      <c r="Q19" s="21">
        <v>0</v>
      </c>
      <c r="R19" s="319"/>
    </row>
    <row r="20" spans="1:18" ht="14.25" customHeight="1" x14ac:dyDescent="0.2">
      <c r="A20" s="8">
        <v>1</v>
      </c>
      <c r="B20" s="8">
        <v>1</v>
      </c>
      <c r="C20" s="8">
        <v>4</v>
      </c>
      <c r="D20" s="397" t="s">
        <v>105</v>
      </c>
      <c r="E20" s="60">
        <v>0</v>
      </c>
      <c r="F20" s="60">
        <v>0</v>
      </c>
      <c r="G20" s="56">
        <v>0</v>
      </c>
      <c r="H20" s="56">
        <v>0</v>
      </c>
      <c r="I20" s="30"/>
      <c r="J20" s="117">
        <v>2</v>
      </c>
      <c r="K20" s="117">
        <v>1</v>
      </c>
      <c r="L20" s="117">
        <v>4</v>
      </c>
      <c r="M20" s="57" t="s">
        <v>106</v>
      </c>
      <c r="N20" s="62">
        <v>0</v>
      </c>
      <c r="O20" s="62">
        <v>0</v>
      </c>
      <c r="P20" s="21">
        <v>0</v>
      </c>
      <c r="Q20" s="21">
        <v>0</v>
      </c>
      <c r="R20" s="319"/>
    </row>
    <row r="21" spans="1:18" ht="14.25" customHeight="1" x14ac:dyDescent="0.2">
      <c r="A21" s="8">
        <v>1</v>
      </c>
      <c r="B21" s="8">
        <v>1</v>
      </c>
      <c r="C21" s="8">
        <v>5</v>
      </c>
      <c r="D21" s="397" t="s">
        <v>107</v>
      </c>
      <c r="E21" s="60">
        <v>0</v>
      </c>
      <c r="F21" s="60">
        <v>0</v>
      </c>
      <c r="G21" s="56">
        <v>0</v>
      </c>
      <c r="H21" s="56">
        <v>0</v>
      </c>
      <c r="I21" s="30"/>
      <c r="J21" s="117">
        <v>2</v>
      </c>
      <c r="K21" s="117">
        <v>1</v>
      </c>
      <c r="L21" s="117">
        <v>5</v>
      </c>
      <c r="M21" s="57" t="s">
        <v>108</v>
      </c>
      <c r="N21" s="62">
        <v>0</v>
      </c>
      <c r="O21" s="62">
        <v>0</v>
      </c>
      <c r="P21" s="21">
        <v>0</v>
      </c>
      <c r="Q21" s="21">
        <v>0</v>
      </c>
      <c r="R21" s="319"/>
    </row>
    <row r="22" spans="1:18" ht="14.25" customHeight="1" x14ac:dyDescent="0.2">
      <c r="A22" s="8">
        <v>1</v>
      </c>
      <c r="B22" s="8">
        <v>1</v>
      </c>
      <c r="C22" s="8">
        <v>6</v>
      </c>
      <c r="D22" s="397" t="s">
        <v>109</v>
      </c>
      <c r="E22" s="60">
        <v>0</v>
      </c>
      <c r="F22" s="60">
        <v>0</v>
      </c>
      <c r="G22" s="56">
        <v>0</v>
      </c>
      <c r="H22" s="56">
        <v>0</v>
      </c>
      <c r="I22" s="30"/>
      <c r="J22" s="117">
        <v>2</v>
      </c>
      <c r="K22" s="117">
        <v>1</v>
      </c>
      <c r="L22" s="117">
        <v>6</v>
      </c>
      <c r="M22" s="57" t="s">
        <v>110</v>
      </c>
      <c r="N22" s="62">
        <f>BALANZA!J305</f>
        <v>164472</v>
      </c>
      <c r="O22" s="62">
        <f>BALANZA!G305</f>
        <v>310862</v>
      </c>
      <c r="P22" s="21">
        <f>N22-O22</f>
        <v>-146390</v>
      </c>
      <c r="Q22" s="21">
        <v>0</v>
      </c>
      <c r="R22" s="319"/>
    </row>
    <row r="23" spans="1:18" ht="14.25" customHeight="1" x14ac:dyDescent="0.2">
      <c r="A23" s="8">
        <v>1</v>
      </c>
      <c r="B23" s="8">
        <v>1</v>
      </c>
      <c r="C23" s="8">
        <v>9</v>
      </c>
      <c r="D23" s="397" t="s">
        <v>111</v>
      </c>
      <c r="E23" s="60">
        <v>0</v>
      </c>
      <c r="F23" s="60">
        <v>0</v>
      </c>
      <c r="G23" s="56">
        <v>0</v>
      </c>
      <c r="H23" s="56">
        <v>0</v>
      </c>
      <c r="I23" s="30"/>
      <c r="J23" s="117">
        <v>2</v>
      </c>
      <c r="K23" s="117">
        <v>1</v>
      </c>
      <c r="L23" s="117">
        <v>7</v>
      </c>
      <c r="M23" s="57" t="s">
        <v>112</v>
      </c>
      <c r="N23" s="62">
        <v>0</v>
      </c>
      <c r="O23" s="62">
        <v>0</v>
      </c>
      <c r="P23" s="21">
        <v>0</v>
      </c>
      <c r="Q23" s="21">
        <v>0</v>
      </c>
      <c r="R23" s="319"/>
    </row>
    <row r="24" spans="1:18" ht="14.25" customHeight="1" x14ac:dyDescent="0.2">
      <c r="A24" s="8" t="s">
        <v>3</v>
      </c>
      <c r="B24" s="8" t="s">
        <v>3</v>
      </c>
      <c r="C24" s="8" t="s">
        <v>3</v>
      </c>
      <c r="D24" s="390"/>
      <c r="E24" s="59"/>
      <c r="F24" s="59"/>
      <c r="G24" s="55"/>
      <c r="H24" s="55"/>
      <c r="I24" s="30"/>
      <c r="J24" s="117">
        <v>2</v>
      </c>
      <c r="K24" s="117">
        <v>1</v>
      </c>
      <c r="L24" s="117">
        <v>9</v>
      </c>
      <c r="M24" s="57" t="s">
        <v>113</v>
      </c>
      <c r="N24" s="62">
        <v>0</v>
      </c>
      <c r="O24" s="62">
        <v>0</v>
      </c>
      <c r="P24" s="21">
        <v>0</v>
      </c>
      <c r="Q24" s="21">
        <v>0</v>
      </c>
      <c r="R24" s="319"/>
    </row>
    <row r="25" spans="1:18" x14ac:dyDescent="0.2">
      <c r="D25" s="390" t="s">
        <v>116</v>
      </c>
      <c r="E25" s="58">
        <f>SUM(E27:E35)</f>
        <v>3219309.44</v>
      </c>
      <c r="F25" s="58">
        <f>SUM(F27:F35)</f>
        <v>3401308.94</v>
      </c>
      <c r="G25" s="54">
        <f>SUM(G27:G35)</f>
        <v>0</v>
      </c>
      <c r="H25" s="54">
        <f>SUM(H27:H35)</f>
        <v>-181999.5</v>
      </c>
      <c r="I25" s="38"/>
      <c r="J25" s="117"/>
      <c r="K25" s="117"/>
      <c r="L25" s="117"/>
      <c r="M25" s="168"/>
      <c r="N25" s="63"/>
      <c r="O25" s="63"/>
      <c r="P25" s="23"/>
      <c r="Q25" s="23"/>
      <c r="R25" s="319"/>
    </row>
    <row r="26" spans="1:18" ht="14.25" customHeight="1" x14ac:dyDescent="0.2">
      <c r="D26" s="390"/>
      <c r="E26" s="59"/>
      <c r="F26" s="59"/>
      <c r="G26" s="55"/>
      <c r="H26" s="55"/>
      <c r="I26" s="38"/>
      <c r="J26" s="117"/>
      <c r="K26" s="117"/>
      <c r="L26" s="117"/>
      <c r="M26" s="167" t="s">
        <v>117</v>
      </c>
      <c r="N26" s="64">
        <f>SUM(N27:N33)</f>
        <v>0</v>
      </c>
      <c r="O26" s="64">
        <f>SUM(O27:O33)</f>
        <v>0</v>
      </c>
      <c r="P26" s="17">
        <f>SUM(P28:P33)</f>
        <v>0</v>
      </c>
      <c r="Q26" s="17">
        <f>SUM(Q17:Q25)</f>
        <v>0</v>
      </c>
      <c r="R26" s="319"/>
    </row>
    <row r="27" spans="1:18" ht="14.25" customHeight="1" x14ac:dyDescent="0.2">
      <c r="A27" s="8">
        <v>1</v>
      </c>
      <c r="B27" s="8">
        <v>2</v>
      </c>
      <c r="C27" s="8">
        <v>1</v>
      </c>
      <c r="D27" s="397" t="s">
        <v>118</v>
      </c>
      <c r="E27" s="60">
        <v>0</v>
      </c>
      <c r="F27" s="60">
        <v>0</v>
      </c>
      <c r="G27" s="56">
        <v>0</v>
      </c>
      <c r="H27" s="56">
        <v>0</v>
      </c>
      <c r="I27" s="30"/>
      <c r="J27" s="117"/>
      <c r="K27" s="117"/>
      <c r="L27" s="117"/>
      <c r="M27" s="168"/>
      <c r="N27" s="65"/>
      <c r="O27" s="65"/>
      <c r="P27" s="37" t="s">
        <v>3</v>
      </c>
      <c r="Q27" s="37"/>
      <c r="R27" s="319"/>
    </row>
    <row r="28" spans="1:18" ht="14.25" customHeight="1" x14ac:dyDescent="0.2">
      <c r="A28" s="8">
        <v>1</v>
      </c>
      <c r="B28" s="8">
        <v>2</v>
      </c>
      <c r="C28" s="8">
        <v>2</v>
      </c>
      <c r="D28" s="397" t="s">
        <v>120</v>
      </c>
      <c r="E28" s="60">
        <v>0</v>
      </c>
      <c r="F28" s="60">
        <v>0</v>
      </c>
      <c r="G28" s="56">
        <v>0</v>
      </c>
      <c r="H28" s="56">
        <v>0</v>
      </c>
      <c r="I28" s="30"/>
      <c r="J28" s="117">
        <v>2</v>
      </c>
      <c r="K28" s="117">
        <v>2</v>
      </c>
      <c r="L28" s="117">
        <v>1</v>
      </c>
      <c r="M28" s="57" t="s">
        <v>119</v>
      </c>
      <c r="N28" s="66">
        <f>BALANZA!J328</f>
        <v>0</v>
      </c>
      <c r="O28" s="66">
        <f>BALANZA!O328</f>
        <v>0</v>
      </c>
      <c r="P28" s="33">
        <v>0</v>
      </c>
      <c r="Q28" s="33">
        <v>0</v>
      </c>
      <c r="R28" s="319"/>
    </row>
    <row r="29" spans="1:18" ht="14.25" customHeight="1" x14ac:dyDescent="0.2">
      <c r="A29" s="8">
        <v>1</v>
      </c>
      <c r="B29" s="8">
        <v>2</v>
      </c>
      <c r="C29" s="8">
        <v>3</v>
      </c>
      <c r="D29" s="397" t="s">
        <v>122</v>
      </c>
      <c r="E29" s="60">
        <f>BALANZA!J104</f>
        <v>867420.59</v>
      </c>
      <c r="F29" s="60">
        <f>BALANZA!G104</f>
        <v>867420.59</v>
      </c>
      <c r="G29" s="56">
        <v>0</v>
      </c>
      <c r="H29" s="56">
        <v>0</v>
      </c>
      <c r="I29" s="30"/>
      <c r="J29" s="117">
        <v>2</v>
      </c>
      <c r="K29" s="117">
        <v>2</v>
      </c>
      <c r="L29" s="117">
        <v>2</v>
      </c>
      <c r="M29" s="57" t="s">
        <v>121</v>
      </c>
      <c r="N29" s="65">
        <f>BALANZA!J331</f>
        <v>0</v>
      </c>
      <c r="O29" s="65">
        <f>BALANZA!O331</f>
        <v>0</v>
      </c>
      <c r="P29" s="37">
        <v>0</v>
      </c>
      <c r="Q29" s="37">
        <v>0</v>
      </c>
      <c r="R29" s="319"/>
    </row>
    <row r="30" spans="1:18" ht="14.25" customHeight="1" x14ac:dyDescent="0.2">
      <c r="A30" s="8">
        <v>1</v>
      </c>
      <c r="B30" s="8">
        <v>2</v>
      </c>
      <c r="C30" s="8">
        <v>4</v>
      </c>
      <c r="D30" s="397" t="s">
        <v>124</v>
      </c>
      <c r="E30" s="60">
        <f>BALANZA!J114</f>
        <v>2306176.77</v>
      </c>
      <c r="F30" s="60">
        <f>BALANZA!G114</f>
        <v>2488176.27</v>
      </c>
      <c r="G30" s="56">
        <v>0</v>
      </c>
      <c r="H30" s="56">
        <f>E30-F30</f>
        <v>-181999.5</v>
      </c>
      <c r="I30" s="30"/>
      <c r="J30" s="117">
        <v>2</v>
      </c>
      <c r="K30" s="117">
        <v>2</v>
      </c>
      <c r="L30" s="117">
        <v>3</v>
      </c>
      <c r="M30" s="57" t="s">
        <v>123</v>
      </c>
      <c r="N30" s="62">
        <f>BALANZA!J335</f>
        <v>0</v>
      </c>
      <c r="O30" s="62">
        <f>BALANZA!O335</f>
        <v>0</v>
      </c>
      <c r="P30" s="21">
        <v>0</v>
      </c>
      <c r="Q30" s="21">
        <v>0</v>
      </c>
      <c r="R30" s="319"/>
    </row>
    <row r="31" spans="1:18" ht="14.25" customHeight="1" x14ac:dyDescent="0.2">
      <c r="A31" s="8">
        <v>1</v>
      </c>
      <c r="B31" s="8">
        <v>2</v>
      </c>
      <c r="C31" s="8">
        <v>5</v>
      </c>
      <c r="D31" s="397" t="s">
        <v>126</v>
      </c>
      <c r="E31" s="60">
        <f>BALANZA!J211</f>
        <v>30712.080000000002</v>
      </c>
      <c r="F31" s="60">
        <f>BALANZA!G211</f>
        <v>30712.080000000002</v>
      </c>
      <c r="G31" s="56">
        <v>0</v>
      </c>
      <c r="H31" s="56">
        <v>0</v>
      </c>
      <c r="I31" s="30"/>
      <c r="J31" s="117">
        <v>2</v>
      </c>
      <c r="K31" s="117">
        <v>2</v>
      </c>
      <c r="L31" s="117">
        <v>4</v>
      </c>
      <c r="M31" s="57" t="s">
        <v>125</v>
      </c>
      <c r="N31" s="62">
        <f>BALANZA!J341</f>
        <v>0</v>
      </c>
      <c r="O31" s="62">
        <f>BALANZA!O341</f>
        <v>0</v>
      </c>
      <c r="P31" s="21">
        <v>0</v>
      </c>
      <c r="Q31" s="21">
        <v>0</v>
      </c>
      <c r="R31" s="319"/>
    </row>
    <row r="32" spans="1:18" ht="14.25" customHeight="1" x14ac:dyDescent="0.2">
      <c r="A32" s="8">
        <v>1</v>
      </c>
      <c r="B32" s="8">
        <v>2</v>
      </c>
      <c r="C32" s="8">
        <v>6</v>
      </c>
      <c r="D32" s="397" t="s">
        <v>128</v>
      </c>
      <c r="E32" s="60">
        <v>0</v>
      </c>
      <c r="F32" s="60">
        <v>0</v>
      </c>
      <c r="G32" s="56">
        <v>0</v>
      </c>
      <c r="H32" s="56">
        <v>0</v>
      </c>
      <c r="I32" s="30"/>
      <c r="J32" s="117">
        <v>2</v>
      </c>
      <c r="K32" s="117">
        <v>2</v>
      </c>
      <c r="L32" s="117">
        <v>5</v>
      </c>
      <c r="M32" s="57" t="s">
        <v>127</v>
      </c>
      <c r="N32" s="62">
        <f>BALANZA!J345</f>
        <v>0</v>
      </c>
      <c r="O32" s="62">
        <f>BALANZA!O345</f>
        <v>0</v>
      </c>
      <c r="P32" s="21">
        <v>0</v>
      </c>
      <c r="Q32" s="21">
        <v>0</v>
      </c>
      <c r="R32" s="319"/>
    </row>
    <row r="33" spans="1:18" ht="14.25" customHeight="1" x14ac:dyDescent="0.2">
      <c r="A33" s="8">
        <v>1</v>
      </c>
      <c r="B33" s="8">
        <v>2</v>
      </c>
      <c r="C33" s="8">
        <v>7</v>
      </c>
      <c r="D33" s="397" t="s">
        <v>130</v>
      </c>
      <c r="E33" s="60">
        <f>BALANZA!J228</f>
        <v>15000</v>
      </c>
      <c r="F33" s="60">
        <f>BALANZA!G228</f>
        <v>15000</v>
      </c>
      <c r="G33" s="56">
        <v>0</v>
      </c>
      <c r="H33" s="56">
        <v>0</v>
      </c>
      <c r="I33" s="30"/>
      <c r="J33" s="117">
        <v>2</v>
      </c>
      <c r="K33" s="117">
        <v>2</v>
      </c>
      <c r="L33" s="117">
        <v>6</v>
      </c>
      <c r="M33" s="57" t="s">
        <v>129</v>
      </c>
      <c r="N33" s="62">
        <f>BALANZA!J352</f>
        <v>0</v>
      </c>
      <c r="O33" s="62">
        <f>BALANZA!O352</f>
        <v>0</v>
      </c>
      <c r="P33" s="21">
        <v>0</v>
      </c>
      <c r="Q33" s="21">
        <v>0</v>
      </c>
      <c r="R33" s="319"/>
    </row>
    <row r="34" spans="1:18" ht="14.25" customHeight="1" x14ac:dyDescent="0.2">
      <c r="A34" s="8">
        <v>1</v>
      </c>
      <c r="B34" s="8">
        <v>2</v>
      </c>
      <c r="C34" s="8">
        <v>8</v>
      </c>
      <c r="D34" s="397" t="s">
        <v>131</v>
      </c>
      <c r="E34" s="60">
        <v>0</v>
      </c>
      <c r="F34" s="60">
        <v>0</v>
      </c>
      <c r="G34" s="56">
        <v>0</v>
      </c>
      <c r="H34" s="56">
        <v>0</v>
      </c>
      <c r="I34" s="30"/>
      <c r="J34" s="117"/>
      <c r="K34" s="117"/>
      <c r="L34" s="117"/>
      <c r="M34" s="168"/>
      <c r="N34" s="62"/>
      <c r="O34" s="62"/>
      <c r="P34" s="21"/>
      <c r="Q34" s="21"/>
      <c r="R34" s="319"/>
    </row>
    <row r="35" spans="1:18" ht="14.25" customHeight="1" x14ac:dyDescent="0.2">
      <c r="A35" s="8">
        <v>1</v>
      </c>
      <c r="B35" s="8">
        <v>2</v>
      </c>
      <c r="C35" s="8">
        <v>9</v>
      </c>
      <c r="D35" s="397" t="s">
        <v>133</v>
      </c>
      <c r="E35" s="60">
        <v>0</v>
      </c>
      <c r="F35" s="60">
        <v>0</v>
      </c>
      <c r="G35" s="56">
        <v>0</v>
      </c>
      <c r="H35" s="56">
        <v>0</v>
      </c>
      <c r="I35" s="30"/>
      <c r="J35" s="117"/>
      <c r="K35" s="117"/>
      <c r="L35" s="117"/>
      <c r="M35" s="168" t="s">
        <v>136</v>
      </c>
      <c r="N35" s="62">
        <v>0</v>
      </c>
      <c r="O35" s="62">
        <v>0</v>
      </c>
      <c r="P35" s="472">
        <f>+P37+P43+P51</f>
        <v>-181999</v>
      </c>
      <c r="Q35" s="472">
        <v>0</v>
      </c>
      <c r="R35" s="319"/>
    </row>
    <row r="36" spans="1:18" x14ac:dyDescent="0.2">
      <c r="D36" s="598"/>
      <c r="E36" s="596"/>
      <c r="F36" s="164"/>
      <c r="G36" s="21"/>
      <c r="H36" s="21"/>
      <c r="I36" s="30"/>
      <c r="J36" s="117"/>
      <c r="K36" s="117"/>
      <c r="L36" s="117"/>
      <c r="M36" s="168"/>
      <c r="N36" s="65"/>
      <c r="O36" s="65"/>
      <c r="P36" s="37"/>
      <c r="Q36" s="37"/>
      <c r="R36" s="319"/>
    </row>
    <row r="37" spans="1:18" ht="14.25" customHeight="1" x14ac:dyDescent="0.2">
      <c r="D37" s="598"/>
      <c r="E37" s="596"/>
      <c r="F37" s="164"/>
      <c r="G37" s="21"/>
      <c r="H37" s="21"/>
      <c r="I37" s="30"/>
      <c r="J37" s="117"/>
      <c r="K37" s="117"/>
      <c r="L37" s="117"/>
      <c r="M37" s="168" t="s">
        <v>138</v>
      </c>
      <c r="N37" s="64">
        <f>SUM(N30:N36)</f>
        <v>0</v>
      </c>
      <c r="O37" s="64">
        <f>SUM(O30:O36)</f>
        <v>0</v>
      </c>
      <c r="P37" s="17">
        <f>SUM(P38:P41)</f>
        <v>0</v>
      </c>
      <c r="Q37" s="17">
        <f ca="1">SUM(Q38:Q41)</f>
        <v>0</v>
      </c>
      <c r="R37" s="319"/>
    </row>
    <row r="38" spans="1:18" x14ac:dyDescent="0.2">
      <c r="D38" s="598"/>
      <c r="E38" s="596"/>
      <c r="F38" s="164"/>
      <c r="G38" s="21"/>
      <c r="H38" s="21"/>
      <c r="I38" s="30"/>
      <c r="J38" s="117"/>
      <c r="K38" s="117"/>
      <c r="L38" s="117"/>
      <c r="M38" s="168"/>
      <c r="N38" s="63"/>
      <c r="O38" s="63"/>
      <c r="P38" s="23"/>
      <c r="Q38" s="23"/>
      <c r="R38" s="319"/>
    </row>
    <row r="39" spans="1:18" ht="14.25" customHeight="1" x14ac:dyDescent="0.2">
      <c r="D39" s="347"/>
      <c r="E39" s="164"/>
      <c r="F39" s="164"/>
      <c r="G39" s="37"/>
      <c r="H39" s="37"/>
      <c r="I39" s="30"/>
      <c r="J39" s="117">
        <v>3</v>
      </c>
      <c r="K39" s="117">
        <v>1</v>
      </c>
      <c r="L39" s="117">
        <v>1</v>
      </c>
      <c r="M39" s="57" t="s">
        <v>76</v>
      </c>
      <c r="N39" s="64">
        <f>BALANZA!J359</f>
        <v>0</v>
      </c>
      <c r="O39" s="64">
        <f>BALANZA!O359</f>
        <v>0</v>
      </c>
      <c r="P39" s="33">
        <v>0</v>
      </c>
      <c r="Q39" s="33">
        <f ca="1">Q26+Q37</f>
        <v>0</v>
      </c>
      <c r="R39" s="319"/>
    </row>
    <row r="40" spans="1:18" x14ac:dyDescent="0.2">
      <c r="D40" s="599"/>
      <c r="E40" s="595"/>
      <c r="F40" s="161"/>
      <c r="G40" s="17"/>
      <c r="H40" s="17"/>
      <c r="I40" s="38"/>
      <c r="J40" s="117">
        <v>3</v>
      </c>
      <c r="K40" s="117">
        <v>1</v>
      </c>
      <c r="L40" s="117">
        <v>2</v>
      </c>
      <c r="M40" s="57" t="s">
        <v>139</v>
      </c>
      <c r="N40" s="63">
        <f>BALANZA!J360</f>
        <v>0</v>
      </c>
      <c r="O40" s="63">
        <f>BALANZA!O360</f>
        <v>0</v>
      </c>
      <c r="P40" s="37">
        <v>0</v>
      </c>
      <c r="Q40" s="37">
        <v>0</v>
      </c>
      <c r="R40" s="319"/>
    </row>
    <row r="41" spans="1:18" ht="14.25" customHeight="1" x14ac:dyDescent="0.2">
      <c r="D41" s="347"/>
      <c r="E41" s="32"/>
      <c r="F41" s="32"/>
      <c r="G41" s="37"/>
      <c r="H41" s="37"/>
      <c r="I41" s="30"/>
      <c r="J41" s="117">
        <v>3</v>
      </c>
      <c r="K41" s="117">
        <v>1</v>
      </c>
      <c r="L41" s="117">
        <v>3</v>
      </c>
      <c r="M41" s="57" t="s">
        <v>140</v>
      </c>
      <c r="N41" s="65">
        <f>BALANZA!J361</f>
        <v>0</v>
      </c>
      <c r="O41" s="65">
        <f>BALANZA!O361</f>
        <v>0</v>
      </c>
      <c r="P41" s="37">
        <v>0</v>
      </c>
      <c r="Q41" s="37">
        <v>0</v>
      </c>
      <c r="R41" s="319"/>
    </row>
    <row r="42" spans="1:18" x14ac:dyDescent="0.2">
      <c r="D42" s="599"/>
      <c r="E42" s="595"/>
      <c r="F42" s="161"/>
      <c r="G42" s="17"/>
      <c r="H42" s="17"/>
      <c r="I42" s="30"/>
      <c r="J42" s="117"/>
      <c r="K42" s="117"/>
      <c r="L42" s="117"/>
      <c r="M42" s="168"/>
      <c r="N42" s="65"/>
      <c r="O42" s="65"/>
      <c r="P42" s="37"/>
      <c r="Q42" s="37"/>
      <c r="R42" s="319"/>
    </row>
    <row r="43" spans="1:18" ht="14.25" customHeight="1" x14ac:dyDescent="0.2">
      <c r="D43" s="347"/>
      <c r="E43" s="36"/>
      <c r="F43" s="36"/>
      <c r="G43" s="37"/>
      <c r="H43" s="37"/>
      <c r="I43" s="30"/>
      <c r="J43" s="117"/>
      <c r="K43" s="117"/>
      <c r="L43" s="117"/>
      <c r="M43" s="168" t="s">
        <v>141</v>
      </c>
      <c r="N43" s="64">
        <f>SUM(N45:N47)</f>
        <v>181731.82</v>
      </c>
      <c r="O43" s="64">
        <f>SUM(O45:O47)</f>
        <v>-290674.18</v>
      </c>
      <c r="P43" s="17">
        <f>SUM(P45:P49)</f>
        <v>0</v>
      </c>
      <c r="Q43" s="17">
        <f>SUM(Q45:Q49)</f>
        <v>0</v>
      </c>
      <c r="R43" s="319"/>
    </row>
    <row r="44" spans="1:18" x14ac:dyDescent="0.2">
      <c r="D44" s="347"/>
      <c r="E44" s="36"/>
      <c r="F44" s="36"/>
      <c r="G44" s="37"/>
      <c r="H44" s="37"/>
      <c r="I44" s="30"/>
      <c r="J44" s="117"/>
      <c r="K44" s="117"/>
      <c r="L44" s="117"/>
      <c r="M44" s="168"/>
      <c r="N44" s="65"/>
      <c r="O44" s="65"/>
      <c r="P44" s="37"/>
      <c r="Q44" s="37"/>
      <c r="R44" s="319"/>
    </row>
    <row r="45" spans="1:18" ht="14.25" customHeight="1" x14ac:dyDescent="0.2">
      <c r="D45" s="347"/>
      <c r="E45" s="36"/>
      <c r="F45" s="36"/>
      <c r="G45" s="37"/>
      <c r="H45" s="37"/>
      <c r="I45" s="30"/>
      <c r="J45" s="117">
        <v>3</v>
      </c>
      <c r="K45" s="117">
        <v>2</v>
      </c>
      <c r="L45" s="117">
        <v>1</v>
      </c>
      <c r="M45" s="57" t="s">
        <v>142</v>
      </c>
      <c r="N45" s="62">
        <f>BALANZA!J363</f>
        <v>472406</v>
      </c>
      <c r="O45" s="62">
        <f>BALANZA!G363</f>
        <v>0</v>
      </c>
      <c r="P45" s="21">
        <v>0</v>
      </c>
      <c r="Q45" s="21">
        <v>0</v>
      </c>
      <c r="R45" s="319"/>
    </row>
    <row r="46" spans="1:18" ht="14.25" customHeight="1" x14ac:dyDescent="0.2">
      <c r="D46" s="347"/>
      <c r="E46" s="40"/>
      <c r="F46" s="40"/>
      <c r="G46" s="40"/>
      <c r="H46" s="37"/>
      <c r="I46" s="30"/>
      <c r="J46" s="117">
        <v>3</v>
      </c>
      <c r="K46" s="117">
        <v>2</v>
      </c>
      <c r="L46" s="117">
        <v>2</v>
      </c>
      <c r="M46" s="57" t="s">
        <v>143</v>
      </c>
      <c r="N46" s="62">
        <f>BALANZA!J364</f>
        <v>-290674.18</v>
      </c>
      <c r="O46" s="62">
        <f>BALANZA!G364</f>
        <v>-290674.18</v>
      </c>
      <c r="P46" s="21">
        <v>0</v>
      </c>
      <c r="Q46" s="21">
        <v>0</v>
      </c>
      <c r="R46" s="319"/>
    </row>
    <row r="47" spans="1:18" ht="14.25" customHeight="1" x14ac:dyDescent="0.2">
      <c r="D47" s="347"/>
      <c r="E47" s="40"/>
      <c r="F47" s="40"/>
      <c r="G47" s="40"/>
      <c r="H47" s="37"/>
      <c r="I47" s="30"/>
      <c r="J47" s="117">
        <v>3</v>
      </c>
      <c r="K47" s="117">
        <v>2</v>
      </c>
      <c r="L47" s="117">
        <v>3</v>
      </c>
      <c r="M47" s="57" t="s">
        <v>144</v>
      </c>
      <c r="N47" s="62">
        <v>0</v>
      </c>
      <c r="O47" s="62">
        <v>0</v>
      </c>
      <c r="P47" s="21">
        <v>0</v>
      </c>
      <c r="Q47" s="21">
        <v>0</v>
      </c>
      <c r="R47" s="319"/>
    </row>
    <row r="48" spans="1:18" ht="14.25" customHeight="1" x14ac:dyDescent="0.2">
      <c r="D48" s="347"/>
      <c r="E48" s="40"/>
      <c r="F48" s="40"/>
      <c r="G48" s="40"/>
      <c r="H48" s="37"/>
      <c r="I48" s="30"/>
      <c r="J48" s="117">
        <v>3</v>
      </c>
      <c r="K48" s="117">
        <v>2</v>
      </c>
      <c r="L48" s="117">
        <v>4</v>
      </c>
      <c r="M48" s="57" t="s">
        <v>145</v>
      </c>
      <c r="N48" s="65"/>
      <c r="O48" s="65"/>
      <c r="P48" s="37">
        <v>0</v>
      </c>
      <c r="Q48" s="37">
        <v>0</v>
      </c>
      <c r="R48" s="319"/>
    </row>
    <row r="49" spans="1:18" ht="14.25" customHeight="1" x14ac:dyDescent="0.2">
      <c r="D49" s="347"/>
      <c r="E49" s="40"/>
      <c r="F49" s="40"/>
      <c r="G49" s="40"/>
      <c r="H49" s="37"/>
      <c r="I49" s="30"/>
      <c r="J49" s="117">
        <v>3</v>
      </c>
      <c r="K49" s="117">
        <v>2</v>
      </c>
      <c r="L49" s="117">
        <v>5</v>
      </c>
      <c r="M49" s="57" t="s">
        <v>146</v>
      </c>
      <c r="N49" s="64">
        <v>0</v>
      </c>
      <c r="O49" s="64">
        <v>0</v>
      </c>
      <c r="P49" s="33">
        <v>0</v>
      </c>
      <c r="Q49" s="33">
        <f>SUM(Q51:Q54)</f>
        <v>0</v>
      </c>
      <c r="R49" s="319"/>
    </row>
    <row r="50" spans="1:18" x14ac:dyDescent="0.2">
      <c r="D50" s="347"/>
      <c r="E50" s="40"/>
      <c r="F50" s="40"/>
      <c r="G50" s="40"/>
      <c r="H50" s="37"/>
      <c r="I50" s="30"/>
      <c r="J50" s="117"/>
      <c r="K50" s="117"/>
      <c r="L50" s="117"/>
      <c r="M50" s="168"/>
      <c r="N50" s="67"/>
      <c r="O50" s="67"/>
      <c r="P50" s="41"/>
      <c r="Q50" s="41"/>
      <c r="R50" s="319"/>
    </row>
    <row r="51" spans="1:18" ht="14.25" customHeight="1" x14ac:dyDescent="0.2">
      <c r="D51" s="347"/>
      <c r="E51" s="40"/>
      <c r="F51" s="40"/>
      <c r="G51" s="40"/>
      <c r="H51" s="37"/>
      <c r="I51" s="30"/>
      <c r="J51" s="117"/>
      <c r="K51" s="117"/>
      <c r="L51" s="117"/>
      <c r="M51" s="168" t="s">
        <v>154</v>
      </c>
      <c r="N51" s="62">
        <v>0</v>
      </c>
      <c r="O51" s="62">
        <v>0</v>
      </c>
      <c r="P51" s="472">
        <f>SUM(P52:P54)</f>
        <v>-181999</v>
      </c>
      <c r="Q51" s="472">
        <f>SUM(Q52:Q54)</f>
        <v>0</v>
      </c>
      <c r="R51" s="319"/>
    </row>
    <row r="52" spans="1:18" ht="14.25" customHeight="1" x14ac:dyDescent="0.2">
      <c r="D52" s="347"/>
      <c r="E52" s="40"/>
      <c r="F52" s="40"/>
      <c r="G52" s="40"/>
      <c r="H52" s="37"/>
      <c r="I52" s="30" t="s">
        <v>3</v>
      </c>
      <c r="J52" s="117"/>
      <c r="K52" s="117"/>
      <c r="L52" s="117"/>
      <c r="M52" s="168"/>
      <c r="N52" s="62">
        <v>0</v>
      </c>
      <c r="O52" s="62">
        <v>0</v>
      </c>
      <c r="P52" s="21">
        <v>0</v>
      </c>
      <c r="Q52" s="21">
        <v>0</v>
      </c>
      <c r="R52" s="319"/>
    </row>
    <row r="53" spans="1:18" ht="14.25" customHeight="1" x14ac:dyDescent="0.2">
      <c r="D53" s="347"/>
      <c r="E53" s="40"/>
      <c r="F53" s="40"/>
      <c r="G53" s="40"/>
      <c r="H53" s="37"/>
      <c r="I53" s="30"/>
      <c r="J53" s="117">
        <v>3</v>
      </c>
      <c r="K53" s="117">
        <v>3</v>
      </c>
      <c r="L53" s="117">
        <v>1</v>
      </c>
      <c r="M53" s="57" t="s">
        <v>148</v>
      </c>
      <c r="N53" s="62">
        <v>0</v>
      </c>
      <c r="O53" s="62">
        <v>0</v>
      </c>
      <c r="P53" s="21">
        <v>0</v>
      </c>
      <c r="Q53" s="21">
        <v>0</v>
      </c>
      <c r="R53" s="319"/>
    </row>
    <row r="54" spans="1:18" ht="14.25" customHeight="1" x14ac:dyDescent="0.2">
      <c r="D54" s="348"/>
      <c r="E54" s="324"/>
      <c r="F54" s="324"/>
      <c r="G54" s="325"/>
      <c r="H54" s="325"/>
      <c r="I54" s="326"/>
      <c r="J54" s="323">
        <v>3</v>
      </c>
      <c r="K54" s="323">
        <v>3</v>
      </c>
      <c r="L54" s="323">
        <v>2</v>
      </c>
      <c r="M54" s="398" t="s">
        <v>149</v>
      </c>
      <c r="N54" s="399">
        <f>BALANZA!J394</f>
        <v>3204309</v>
      </c>
      <c r="O54" s="399">
        <f>BALANZA!G394</f>
        <v>3386308</v>
      </c>
      <c r="P54" s="400">
        <f>N54-O54</f>
        <v>-181999</v>
      </c>
      <c r="Q54" s="400">
        <v>0</v>
      </c>
      <c r="R54" s="328"/>
    </row>
    <row r="55" spans="1:18" x14ac:dyDescent="0.2">
      <c r="D55" s="29"/>
      <c r="E55" s="42"/>
      <c r="F55" s="42"/>
      <c r="G55" s="43"/>
      <c r="H55" s="43"/>
      <c r="I55" s="30"/>
      <c r="J55" s="30"/>
      <c r="K55" s="30"/>
      <c r="L55" s="30"/>
      <c r="M55" s="44"/>
      <c r="N55" s="44"/>
      <c r="O55" s="42"/>
      <c r="P55" s="43"/>
      <c r="Q55" s="43"/>
      <c r="R55" s="50"/>
    </row>
    <row r="56" spans="1:18" x14ac:dyDescent="0.2">
      <c r="D56" s="600" t="s">
        <v>152</v>
      </c>
      <c r="E56" s="600"/>
      <c r="F56" s="600"/>
      <c r="G56" s="600"/>
      <c r="H56" s="600"/>
      <c r="I56" s="600"/>
      <c r="J56" s="600"/>
      <c r="K56" s="600"/>
      <c r="L56" s="600"/>
      <c r="M56" s="600"/>
      <c r="N56" s="600"/>
      <c r="O56" s="600"/>
      <c r="P56" s="600"/>
      <c r="Q56" s="600"/>
      <c r="R56" s="45"/>
    </row>
    <row r="57" spans="1:18" x14ac:dyDescent="0.2">
      <c r="D57" s="29"/>
      <c r="E57" s="42"/>
      <c r="F57" s="42"/>
      <c r="G57" s="43"/>
      <c r="H57" s="43"/>
      <c r="I57" s="45"/>
      <c r="J57" s="45"/>
      <c r="K57" s="45"/>
      <c r="L57" s="45"/>
      <c r="M57" s="44"/>
      <c r="N57" s="44"/>
      <c r="O57" s="46"/>
      <c r="P57" s="43"/>
      <c r="Q57" s="43"/>
      <c r="R57" s="45"/>
    </row>
    <row r="58" spans="1:18" x14ac:dyDescent="0.2">
      <c r="D58" s="29"/>
      <c r="E58" s="42"/>
      <c r="F58" s="42"/>
      <c r="G58" s="43"/>
      <c r="H58" s="43"/>
      <c r="I58" s="45"/>
      <c r="J58" s="45"/>
      <c r="K58" s="45"/>
      <c r="L58" s="45"/>
      <c r="M58" s="44"/>
      <c r="N58" s="44"/>
      <c r="O58" s="46"/>
      <c r="P58" s="43"/>
      <c r="Q58" s="43"/>
      <c r="R58" s="45"/>
    </row>
    <row r="59" spans="1:18" x14ac:dyDescent="0.2">
      <c r="D59" s="48" t="str">
        <f>BALANZA!Q1</f>
        <v>Dr. Alfredo Cuecuecha Mendoza</v>
      </c>
      <c r="E59" s="578" t="s">
        <v>3</v>
      </c>
      <c r="F59" s="578"/>
      <c r="G59" s="578"/>
      <c r="H59" s="43"/>
      <c r="I59" s="43"/>
      <c r="J59" s="43"/>
      <c r="K59" s="43"/>
      <c r="L59" s="43"/>
      <c r="M59" s="48" t="str">
        <f>BALANZA!Q3</f>
        <v>C.P. José Santiago Ortega Vega</v>
      </c>
      <c r="N59" s="77"/>
      <c r="O59" s="77"/>
      <c r="P59" s="31"/>
      <c r="Q59" s="43"/>
      <c r="R59" s="45"/>
    </row>
    <row r="60" spans="1:18" ht="14.25" customHeight="1" x14ac:dyDescent="0.2">
      <c r="D60" s="49" t="str">
        <f>BALANZA!Q2</f>
        <v>Presidente de la Junta de Gobierno</v>
      </c>
      <c r="E60" s="580" t="s">
        <v>3</v>
      </c>
      <c r="F60" s="580"/>
      <c r="G60" s="580"/>
      <c r="H60" s="47"/>
      <c r="I60" s="47"/>
      <c r="J60" s="47"/>
      <c r="K60" s="47"/>
      <c r="L60" s="47"/>
      <c r="M60" s="49" t="str">
        <f>BALANZA!Q4</f>
        <v>Director Administrativo</v>
      </c>
      <c r="N60" s="53"/>
      <c r="O60" s="53"/>
      <c r="P60" s="31"/>
      <c r="Q60" s="43"/>
      <c r="R60" s="45"/>
    </row>
    <row r="61" spans="1:18" x14ac:dyDescent="0.2">
      <c r="D61" s="2"/>
      <c r="G61" s="9"/>
      <c r="H61" s="9"/>
      <c r="I61" s="9"/>
      <c r="J61" s="9"/>
      <c r="K61" s="9"/>
      <c r="L61" s="9"/>
      <c r="M61" s="27"/>
      <c r="N61" s="27"/>
      <c r="O61" s="27"/>
    </row>
    <row r="62" spans="1:18" x14ac:dyDescent="0.2">
      <c r="A62" s="10" t="s">
        <v>23</v>
      </c>
      <c r="D62" s="2"/>
      <c r="G62" s="9"/>
      <c r="H62" s="9"/>
      <c r="I62" s="9"/>
      <c r="J62" s="10" t="s">
        <v>23</v>
      </c>
      <c r="K62" s="8"/>
      <c r="L62" s="8"/>
      <c r="M62" s="2"/>
      <c r="N62" s="12"/>
      <c r="O62" s="12"/>
      <c r="P62" s="9"/>
      <c r="Q62" s="9"/>
    </row>
    <row r="63" spans="1:18" x14ac:dyDescent="0.2">
      <c r="A63" s="15" t="s">
        <v>12</v>
      </c>
      <c r="B63" s="602" t="s">
        <v>13</v>
      </c>
      <c r="C63" s="602"/>
      <c r="D63" s="602"/>
      <c r="E63" s="602"/>
      <c r="F63" s="602"/>
      <c r="G63" s="602"/>
      <c r="H63" s="602"/>
      <c r="I63" s="9"/>
      <c r="J63" s="15" t="s">
        <v>25</v>
      </c>
      <c r="K63" s="602" t="s">
        <v>13</v>
      </c>
      <c r="L63" s="602"/>
      <c r="M63" s="602"/>
      <c r="N63" s="602"/>
      <c r="O63" s="602"/>
      <c r="P63" s="602"/>
      <c r="Q63" s="602"/>
    </row>
    <row r="64" spans="1:18" x14ac:dyDescent="0.2">
      <c r="A64" s="15" t="s">
        <v>5</v>
      </c>
      <c r="B64" s="602" t="s">
        <v>14</v>
      </c>
      <c r="C64" s="602"/>
      <c r="D64" s="602"/>
      <c r="E64" s="602"/>
      <c r="F64" s="602"/>
      <c r="G64" s="602"/>
      <c r="H64" s="602"/>
      <c r="I64" s="9"/>
      <c r="J64" s="15" t="s">
        <v>33</v>
      </c>
      <c r="K64" s="602" t="s">
        <v>14</v>
      </c>
      <c r="L64" s="602"/>
      <c r="M64" s="602"/>
      <c r="N64" s="602"/>
      <c r="O64" s="602"/>
      <c r="P64" s="602"/>
      <c r="Q64" s="602"/>
    </row>
    <row r="65" spans="1:18" x14ac:dyDescent="0.2">
      <c r="A65" s="15" t="s">
        <v>15</v>
      </c>
      <c r="B65" s="602" t="s">
        <v>16</v>
      </c>
      <c r="C65" s="602"/>
      <c r="D65" s="602"/>
      <c r="E65" s="602"/>
      <c r="F65" s="602"/>
      <c r="G65" s="602"/>
      <c r="H65" s="602"/>
      <c r="I65" s="9"/>
      <c r="J65" s="15" t="s">
        <v>26</v>
      </c>
      <c r="K65" s="602" t="s">
        <v>16</v>
      </c>
      <c r="L65" s="602"/>
      <c r="M65" s="602"/>
      <c r="N65" s="602"/>
      <c r="O65" s="602"/>
      <c r="P65" s="602"/>
      <c r="Q65" s="602"/>
    </row>
    <row r="66" spans="1:18" ht="14.25" customHeight="1" x14ac:dyDescent="0.2">
      <c r="A66" s="15" t="s">
        <v>17</v>
      </c>
      <c r="B66" s="602" t="s">
        <v>19</v>
      </c>
      <c r="C66" s="602"/>
      <c r="D66" s="602"/>
      <c r="E66" s="602"/>
      <c r="F66" s="602"/>
      <c r="G66" s="602"/>
      <c r="H66" s="602"/>
      <c r="I66" s="9"/>
      <c r="J66" s="15" t="s">
        <v>27</v>
      </c>
      <c r="K66" s="602" t="s">
        <v>19</v>
      </c>
      <c r="L66" s="602"/>
      <c r="M66" s="602"/>
      <c r="N66" s="602"/>
      <c r="O66" s="602"/>
      <c r="P66" s="602"/>
      <c r="Q66" s="602"/>
    </row>
    <row r="67" spans="1:18" ht="14.25" customHeight="1" x14ac:dyDescent="0.2">
      <c r="A67" s="68" t="s">
        <v>18</v>
      </c>
      <c r="B67" s="601" t="s">
        <v>162</v>
      </c>
      <c r="C67" s="601"/>
      <c r="D67" s="601"/>
      <c r="E67" s="601"/>
      <c r="F67" s="601"/>
      <c r="G67" s="601"/>
      <c r="H67" s="601"/>
      <c r="I67" s="9"/>
      <c r="J67" s="68" t="s">
        <v>28</v>
      </c>
      <c r="K67" s="601" t="s">
        <v>162</v>
      </c>
      <c r="L67" s="601"/>
      <c r="M67" s="601"/>
      <c r="N67" s="601"/>
      <c r="O67" s="601"/>
      <c r="P67" s="601"/>
      <c r="Q67" s="601"/>
    </row>
    <row r="68" spans="1:18" ht="14.25" customHeight="1" x14ac:dyDescent="0.2">
      <c r="A68" s="68" t="s">
        <v>20</v>
      </c>
      <c r="B68" s="601" t="s">
        <v>163</v>
      </c>
      <c r="C68" s="601"/>
      <c r="D68" s="601"/>
      <c r="E68" s="601"/>
      <c r="F68" s="601"/>
      <c r="G68" s="601"/>
      <c r="H68" s="601"/>
      <c r="I68" s="9"/>
      <c r="J68" s="68" t="s">
        <v>29</v>
      </c>
      <c r="K68" s="601" t="s">
        <v>163</v>
      </c>
      <c r="L68" s="601"/>
      <c r="M68" s="601"/>
      <c r="N68" s="601"/>
      <c r="O68" s="601"/>
      <c r="P68" s="601"/>
      <c r="Q68" s="601"/>
    </row>
    <row r="69" spans="1:18" x14ac:dyDescent="0.2">
      <c r="A69" s="15" t="s">
        <v>22</v>
      </c>
      <c r="B69" s="602" t="s">
        <v>34</v>
      </c>
      <c r="C69" s="602"/>
      <c r="D69" s="602"/>
      <c r="E69" s="602"/>
      <c r="F69" s="602"/>
      <c r="G69" s="602"/>
      <c r="H69" s="602"/>
      <c r="I69" s="9"/>
      <c r="J69" s="15" t="s">
        <v>164</v>
      </c>
      <c r="K69" s="602" t="s">
        <v>34</v>
      </c>
      <c r="L69" s="602"/>
      <c r="M69" s="602"/>
      <c r="N69" s="602"/>
      <c r="O69" s="602"/>
      <c r="P69" s="602"/>
      <c r="Q69" s="602"/>
    </row>
    <row r="70" spans="1:18" x14ac:dyDescent="0.2">
      <c r="A70" s="15" t="s">
        <v>22</v>
      </c>
      <c r="B70" s="602" t="s">
        <v>35</v>
      </c>
      <c r="C70" s="602"/>
      <c r="D70" s="602"/>
      <c r="E70" s="602"/>
      <c r="F70" s="602"/>
      <c r="G70" s="602"/>
      <c r="H70" s="602"/>
      <c r="I70" s="9"/>
      <c r="J70" s="15" t="s">
        <v>165</v>
      </c>
      <c r="K70" s="602" t="s">
        <v>35</v>
      </c>
      <c r="L70" s="602"/>
      <c r="M70" s="602"/>
      <c r="N70" s="602"/>
      <c r="O70" s="602"/>
      <c r="P70" s="602"/>
      <c r="Q70" s="602"/>
    </row>
    <row r="71" spans="1:18" x14ac:dyDescent="0.2">
      <c r="A71" s="15"/>
      <c r="B71" s="602" t="s">
        <v>166</v>
      </c>
      <c r="C71" s="602"/>
      <c r="D71" s="602"/>
      <c r="E71" s="602"/>
      <c r="F71" s="602"/>
      <c r="G71" s="602"/>
      <c r="H71" s="602"/>
      <c r="I71" s="9"/>
      <c r="J71" s="602" t="s">
        <v>167</v>
      </c>
      <c r="K71" s="602"/>
      <c r="L71" s="602"/>
      <c r="M71" s="602"/>
      <c r="N71" s="602"/>
      <c r="O71" s="602"/>
      <c r="P71" s="602"/>
    </row>
    <row r="72" spans="1:18" s="6" customFormat="1" x14ac:dyDescent="0.2">
      <c r="A72" s="8"/>
      <c r="B72" s="8"/>
      <c r="C72" s="8"/>
      <c r="D72" s="2"/>
      <c r="E72" s="12"/>
      <c r="F72" s="12"/>
      <c r="G72" s="9"/>
      <c r="H72" s="9"/>
      <c r="I72" s="9"/>
      <c r="J72" s="602" t="s">
        <v>168</v>
      </c>
      <c r="K72" s="602"/>
      <c r="L72" s="602"/>
      <c r="M72" s="602"/>
      <c r="N72" s="602"/>
      <c r="O72" s="602"/>
      <c r="P72" s="602"/>
      <c r="Q72" s="12"/>
      <c r="R72" s="12"/>
    </row>
    <row r="73" spans="1:18" s="6" customFormat="1" x14ac:dyDescent="0.2">
      <c r="A73" s="8"/>
      <c r="B73" s="8"/>
      <c r="C73" s="8"/>
      <c r="D73" s="2"/>
      <c r="E73" s="12"/>
      <c r="F73" s="12"/>
      <c r="G73" s="9"/>
      <c r="H73" s="9"/>
      <c r="I73" s="9"/>
      <c r="J73" s="9"/>
      <c r="K73" s="9"/>
      <c r="L73" s="9"/>
      <c r="M73" s="27"/>
      <c r="N73" s="27"/>
      <c r="O73" s="27"/>
      <c r="Q73" s="12"/>
      <c r="R73" s="12"/>
    </row>
    <row r="74" spans="1:18" s="6" customFormat="1" x14ac:dyDescent="0.2">
      <c r="A74" s="8"/>
      <c r="B74" s="8"/>
      <c r="C74" s="8"/>
      <c r="D74" s="2"/>
      <c r="E74" s="12"/>
      <c r="F74" s="12"/>
      <c r="G74" s="9"/>
      <c r="H74" s="9"/>
      <c r="I74" s="9"/>
      <c r="J74" s="9"/>
      <c r="K74" s="9"/>
      <c r="L74" s="9"/>
      <c r="M74" s="27"/>
      <c r="N74" s="27"/>
      <c r="O74" s="27"/>
      <c r="Q74" s="12"/>
      <c r="R74" s="12"/>
    </row>
    <row r="75" spans="1:18" s="6" customFormat="1" x14ac:dyDescent="0.2">
      <c r="A75" s="8"/>
      <c r="B75" s="8"/>
      <c r="C75" s="8"/>
      <c r="D75" s="2"/>
      <c r="E75" s="12"/>
      <c r="F75" s="12"/>
      <c r="G75" s="9"/>
      <c r="H75" s="9"/>
      <c r="I75" s="9"/>
      <c r="J75" s="9"/>
      <c r="K75" s="9"/>
      <c r="L75" s="9"/>
      <c r="M75" s="27"/>
      <c r="N75" s="27"/>
      <c r="O75" s="27"/>
      <c r="Q75" s="12"/>
      <c r="R75" s="12"/>
    </row>
    <row r="76" spans="1:18" s="6" customFormat="1" x14ac:dyDescent="0.2">
      <c r="A76" s="8"/>
      <c r="B76" s="8"/>
      <c r="C76" s="8"/>
      <c r="D76" s="2"/>
      <c r="E76" s="12"/>
      <c r="F76" s="12"/>
      <c r="G76" s="9"/>
      <c r="H76" s="9"/>
      <c r="I76" s="9"/>
      <c r="J76" s="9"/>
      <c r="K76" s="9"/>
      <c r="L76" s="9"/>
      <c r="M76" s="27"/>
      <c r="N76" s="27"/>
      <c r="O76" s="27"/>
      <c r="Q76" s="12"/>
      <c r="R76" s="12"/>
    </row>
    <row r="77" spans="1:18" s="6" customFormat="1" x14ac:dyDescent="0.2">
      <c r="A77" s="8"/>
      <c r="B77" s="8"/>
      <c r="C77" s="8"/>
      <c r="D77" s="2"/>
      <c r="E77" s="12"/>
      <c r="F77" s="12"/>
      <c r="G77" s="9"/>
      <c r="H77" s="9"/>
      <c r="I77" s="9"/>
      <c r="J77" s="9"/>
      <c r="K77" s="9"/>
      <c r="L77" s="9"/>
      <c r="M77" s="27"/>
      <c r="N77" s="27"/>
      <c r="O77" s="27"/>
      <c r="Q77" s="12"/>
      <c r="R77" s="12"/>
    </row>
    <row r="78" spans="1:18" s="6" customFormat="1" x14ac:dyDescent="0.2">
      <c r="A78" s="8"/>
      <c r="B78" s="8"/>
      <c r="C78" s="8"/>
      <c r="D78" s="2"/>
      <c r="E78" s="12"/>
      <c r="F78" s="12"/>
      <c r="G78" s="9"/>
      <c r="H78" s="9"/>
      <c r="I78" s="9"/>
      <c r="J78" s="9"/>
      <c r="K78" s="9"/>
      <c r="L78" s="9"/>
      <c r="M78" s="27"/>
      <c r="N78" s="27"/>
      <c r="O78" s="27"/>
      <c r="Q78" s="12"/>
      <c r="R78" s="12"/>
    </row>
    <row r="79" spans="1:18" s="6" customFormat="1" x14ac:dyDescent="0.2">
      <c r="A79" s="8"/>
      <c r="B79" s="8"/>
      <c r="C79" s="8"/>
      <c r="D79" s="2"/>
      <c r="E79" s="12"/>
      <c r="F79" s="12"/>
      <c r="G79" s="9"/>
      <c r="H79" s="9"/>
      <c r="I79" s="9"/>
      <c r="J79" s="9"/>
      <c r="K79" s="9"/>
      <c r="L79" s="9"/>
      <c r="M79" s="27"/>
      <c r="N79" s="27"/>
      <c r="O79" s="27"/>
      <c r="Q79" s="12"/>
      <c r="R79" s="12"/>
    </row>
    <row r="80" spans="1:18" s="6" customFormat="1" x14ac:dyDescent="0.2">
      <c r="A80" s="8"/>
      <c r="B80" s="8"/>
      <c r="C80" s="8"/>
      <c r="D80" s="2"/>
      <c r="E80" s="12"/>
      <c r="F80" s="12"/>
      <c r="G80" s="9"/>
      <c r="H80" s="9"/>
      <c r="I80" s="9"/>
      <c r="J80" s="9"/>
      <c r="K80" s="9"/>
      <c r="L80" s="9"/>
      <c r="M80" s="27"/>
      <c r="N80" s="27"/>
      <c r="O80" s="27"/>
      <c r="Q80" s="12"/>
      <c r="R80" s="12"/>
    </row>
    <row r="81" spans="1:18" s="6" customFormat="1" x14ac:dyDescent="0.2">
      <c r="A81" s="8"/>
      <c r="B81" s="8"/>
      <c r="C81" s="8"/>
      <c r="D81" s="2"/>
      <c r="E81" s="12"/>
      <c r="F81" s="12"/>
      <c r="G81" s="9"/>
      <c r="H81" s="9"/>
      <c r="I81" s="9"/>
      <c r="J81" s="9"/>
      <c r="K81" s="9"/>
      <c r="L81" s="9"/>
      <c r="M81" s="27"/>
      <c r="N81" s="27"/>
      <c r="O81" s="27"/>
      <c r="Q81" s="12"/>
      <c r="R81" s="12"/>
    </row>
    <row r="82" spans="1:18" s="6" customFormat="1" x14ac:dyDescent="0.2">
      <c r="A82" s="8"/>
      <c r="B82" s="8"/>
      <c r="C82" s="8"/>
      <c r="D82" s="2"/>
      <c r="E82" s="12"/>
      <c r="F82" s="12"/>
      <c r="G82" s="9"/>
      <c r="H82" s="9"/>
      <c r="I82" s="9"/>
      <c r="J82" s="9"/>
      <c r="K82" s="9"/>
      <c r="L82" s="9"/>
      <c r="M82" s="27"/>
      <c r="N82" s="27"/>
      <c r="O82" s="27"/>
      <c r="Q82" s="12"/>
      <c r="R82" s="12"/>
    </row>
    <row r="83" spans="1:18" s="6" customFormat="1" x14ac:dyDescent="0.2">
      <c r="A83" s="8"/>
      <c r="B83" s="8"/>
      <c r="C83" s="8"/>
      <c r="D83" s="2"/>
      <c r="E83" s="12"/>
      <c r="F83" s="12"/>
      <c r="G83" s="9"/>
      <c r="H83" s="9"/>
      <c r="I83" s="9"/>
      <c r="J83" s="9"/>
      <c r="K83" s="9"/>
      <c r="L83" s="9"/>
      <c r="M83" s="27"/>
      <c r="N83" s="27"/>
      <c r="O83" s="27"/>
      <c r="Q83" s="12"/>
      <c r="R83" s="12"/>
    </row>
    <row r="84" spans="1:18" s="6" customFormat="1" x14ac:dyDescent="0.2">
      <c r="A84" s="8"/>
      <c r="B84" s="8"/>
      <c r="C84" s="8"/>
      <c r="D84" s="2"/>
      <c r="E84" s="12"/>
      <c r="F84" s="12"/>
      <c r="G84" s="9"/>
      <c r="H84" s="9"/>
      <c r="I84" s="9"/>
      <c r="J84" s="9"/>
      <c r="K84" s="9"/>
      <c r="L84" s="9"/>
      <c r="M84" s="27"/>
      <c r="N84" s="27"/>
      <c r="O84" s="27"/>
      <c r="Q84" s="12"/>
      <c r="R84" s="12"/>
    </row>
    <row r="85" spans="1:18" s="6" customFormat="1" x14ac:dyDescent="0.2">
      <c r="A85" s="8"/>
      <c r="B85" s="8"/>
      <c r="C85" s="8"/>
      <c r="D85" s="2"/>
      <c r="E85" s="12"/>
      <c r="F85" s="12"/>
      <c r="G85" s="9"/>
      <c r="H85" s="9"/>
      <c r="I85" s="9"/>
      <c r="J85" s="9"/>
      <c r="K85" s="9"/>
      <c r="L85" s="9"/>
      <c r="M85" s="27"/>
      <c r="N85" s="27"/>
      <c r="O85" s="27"/>
      <c r="Q85" s="12"/>
      <c r="R85" s="12"/>
    </row>
    <row r="86" spans="1:18" s="6" customFormat="1" x14ac:dyDescent="0.2">
      <c r="A86" s="8"/>
      <c r="B86" s="8"/>
      <c r="C86" s="8"/>
      <c r="D86" s="2"/>
      <c r="E86" s="12"/>
      <c r="F86" s="12"/>
      <c r="G86" s="9"/>
      <c r="H86" s="9"/>
      <c r="I86" s="9"/>
      <c r="J86" s="9"/>
      <c r="K86" s="9"/>
      <c r="L86" s="9"/>
      <c r="M86" s="27"/>
      <c r="N86" s="27"/>
      <c r="O86" s="27"/>
      <c r="Q86" s="12"/>
      <c r="R86" s="12"/>
    </row>
    <row r="87" spans="1:18" s="6" customFormat="1" x14ac:dyDescent="0.2">
      <c r="A87" s="8"/>
      <c r="B87" s="8"/>
      <c r="C87" s="8"/>
      <c r="D87" s="2"/>
      <c r="E87" s="12"/>
      <c r="F87" s="12"/>
      <c r="G87" s="9"/>
      <c r="H87" s="9"/>
      <c r="I87" s="9"/>
      <c r="J87" s="9"/>
      <c r="K87" s="9"/>
      <c r="L87" s="9"/>
      <c r="M87" s="27"/>
      <c r="N87" s="27"/>
      <c r="O87" s="27"/>
      <c r="Q87" s="12"/>
      <c r="R87" s="12"/>
    </row>
    <row r="88" spans="1:18" s="6" customFormat="1" x14ac:dyDescent="0.2">
      <c r="A88" s="8"/>
      <c r="B88" s="8"/>
      <c r="C88" s="8"/>
      <c r="D88" s="2"/>
      <c r="E88" s="12"/>
      <c r="F88" s="12"/>
      <c r="G88" s="9"/>
      <c r="H88" s="9"/>
      <c r="I88" s="9"/>
      <c r="J88" s="9"/>
      <c r="K88" s="9"/>
      <c r="L88" s="9"/>
      <c r="M88" s="27"/>
      <c r="N88" s="27"/>
      <c r="O88" s="27"/>
      <c r="Q88" s="12"/>
      <c r="R88" s="12"/>
    </row>
    <row r="89" spans="1:18" s="6" customFormat="1" x14ac:dyDescent="0.2">
      <c r="A89" s="8"/>
      <c r="B89" s="8"/>
      <c r="C89" s="8"/>
      <c r="D89" s="2"/>
      <c r="E89" s="12"/>
      <c r="F89" s="12"/>
      <c r="G89" s="9"/>
      <c r="H89" s="9"/>
      <c r="I89" s="9"/>
      <c r="J89" s="9"/>
      <c r="K89" s="9"/>
      <c r="L89" s="9"/>
      <c r="M89" s="27"/>
      <c r="N89" s="27"/>
      <c r="O89" s="27"/>
      <c r="Q89" s="12"/>
      <c r="R89" s="12"/>
    </row>
    <row r="90" spans="1:18" s="6" customFormat="1" x14ac:dyDescent="0.2">
      <c r="A90" s="8"/>
      <c r="B90" s="8"/>
      <c r="C90" s="8"/>
      <c r="D90" s="2"/>
      <c r="E90" s="12"/>
      <c r="F90" s="12"/>
      <c r="G90" s="9"/>
      <c r="H90" s="9"/>
      <c r="I90" s="9"/>
      <c r="J90" s="9"/>
      <c r="K90" s="9"/>
      <c r="L90" s="9"/>
      <c r="M90" s="27"/>
      <c r="N90" s="27"/>
      <c r="O90" s="27"/>
      <c r="Q90" s="12"/>
      <c r="R90" s="12"/>
    </row>
    <row r="91" spans="1:18" s="6" customFormat="1" x14ac:dyDescent="0.2">
      <c r="A91" s="8"/>
      <c r="B91" s="8"/>
      <c r="C91" s="8"/>
      <c r="D91" s="2"/>
      <c r="E91" s="12"/>
      <c r="F91" s="12"/>
      <c r="G91" s="9"/>
      <c r="H91" s="9"/>
      <c r="I91" s="9"/>
      <c r="J91" s="9"/>
      <c r="K91" s="9"/>
      <c r="L91" s="9"/>
      <c r="M91" s="27"/>
      <c r="N91" s="27"/>
      <c r="O91" s="27"/>
      <c r="Q91" s="12"/>
      <c r="R91" s="12"/>
    </row>
    <row r="92" spans="1:18" s="6" customFormat="1" x14ac:dyDescent="0.2">
      <c r="A92" s="8"/>
      <c r="B92" s="8"/>
      <c r="C92" s="8"/>
      <c r="D92" s="2"/>
      <c r="E92" s="12"/>
      <c r="F92" s="12"/>
      <c r="G92" s="9"/>
      <c r="H92" s="9"/>
      <c r="I92" s="9"/>
      <c r="J92" s="9"/>
      <c r="K92" s="9"/>
      <c r="L92" s="9"/>
      <c r="M92" s="27"/>
      <c r="N92" s="27"/>
      <c r="O92" s="27"/>
      <c r="Q92" s="12"/>
      <c r="R92" s="12"/>
    </row>
    <row r="93" spans="1:18" s="6" customFormat="1" x14ac:dyDescent="0.2">
      <c r="A93" s="8"/>
      <c r="B93" s="8"/>
      <c r="C93" s="8"/>
      <c r="D93" s="2"/>
      <c r="E93" s="12"/>
      <c r="F93" s="12"/>
      <c r="G93" s="9"/>
      <c r="H93" s="9"/>
      <c r="I93" s="9"/>
      <c r="J93" s="9"/>
      <c r="K93" s="9"/>
      <c r="L93" s="9"/>
      <c r="M93" s="27"/>
      <c r="N93" s="27"/>
      <c r="O93" s="27"/>
      <c r="Q93" s="12"/>
      <c r="R93" s="12"/>
    </row>
    <row r="94" spans="1:18" s="6" customFormat="1" x14ac:dyDescent="0.2">
      <c r="A94" s="8"/>
      <c r="B94" s="8"/>
      <c r="C94" s="8"/>
      <c r="D94" s="2"/>
      <c r="E94" s="12"/>
      <c r="F94" s="12"/>
      <c r="G94" s="9"/>
      <c r="H94" s="9"/>
      <c r="I94" s="9"/>
      <c r="J94" s="9"/>
      <c r="K94" s="9"/>
      <c r="L94" s="9"/>
      <c r="M94" s="27"/>
      <c r="N94" s="27"/>
      <c r="O94" s="27"/>
      <c r="Q94" s="12"/>
      <c r="R94" s="12"/>
    </row>
    <row r="95" spans="1:18" s="6" customFormat="1" x14ac:dyDescent="0.2">
      <c r="A95" s="8"/>
      <c r="B95" s="8"/>
      <c r="C95" s="8"/>
      <c r="D95" s="2"/>
      <c r="E95" s="12"/>
      <c r="F95" s="12"/>
      <c r="G95" s="9"/>
      <c r="H95" s="9"/>
      <c r="I95" s="9"/>
      <c r="J95" s="9"/>
      <c r="K95" s="9"/>
      <c r="L95" s="9"/>
      <c r="M95" s="27"/>
      <c r="N95" s="27"/>
      <c r="O95" s="27"/>
      <c r="Q95" s="12"/>
      <c r="R95" s="12"/>
    </row>
    <row r="96" spans="1:18" s="6" customFormat="1" x14ac:dyDescent="0.2">
      <c r="A96" s="8"/>
      <c r="B96" s="8"/>
      <c r="C96" s="8"/>
      <c r="D96" s="2"/>
      <c r="E96" s="12"/>
      <c r="F96" s="12"/>
      <c r="G96" s="9"/>
      <c r="H96" s="9"/>
      <c r="I96" s="9"/>
      <c r="J96" s="9"/>
      <c r="K96" s="9"/>
      <c r="L96" s="9"/>
      <c r="M96" s="27"/>
      <c r="N96" s="27"/>
      <c r="O96" s="27"/>
      <c r="Q96" s="12"/>
      <c r="R96" s="12"/>
    </row>
    <row r="97" spans="1:18" s="6" customFormat="1" x14ac:dyDescent="0.2">
      <c r="A97" s="8"/>
      <c r="B97" s="8"/>
      <c r="C97" s="8"/>
      <c r="D97" s="2"/>
      <c r="E97" s="12"/>
      <c r="F97" s="12"/>
      <c r="G97" s="9"/>
      <c r="H97" s="9"/>
      <c r="I97" s="9"/>
      <c r="J97" s="9"/>
      <c r="K97" s="9"/>
      <c r="L97" s="9"/>
      <c r="M97" s="27"/>
      <c r="N97" s="27"/>
      <c r="O97" s="27"/>
      <c r="Q97" s="12"/>
      <c r="R97" s="12"/>
    </row>
    <row r="98" spans="1:18" s="6" customFormat="1" x14ac:dyDescent="0.2">
      <c r="A98" s="8"/>
      <c r="B98" s="8"/>
      <c r="C98" s="8"/>
      <c r="D98" s="2"/>
      <c r="E98" s="12"/>
      <c r="F98" s="12"/>
      <c r="G98" s="9"/>
      <c r="H98" s="9"/>
      <c r="I98" s="9"/>
      <c r="J98" s="9"/>
      <c r="K98" s="9"/>
      <c r="L98" s="9"/>
      <c r="M98" s="27"/>
      <c r="N98" s="27"/>
      <c r="O98" s="27"/>
      <c r="Q98" s="12"/>
      <c r="R98" s="12"/>
    </row>
    <row r="99" spans="1:18" s="6" customFormat="1" x14ac:dyDescent="0.2">
      <c r="A99" s="8"/>
      <c r="B99" s="8"/>
      <c r="C99" s="8"/>
      <c r="D99" s="2"/>
      <c r="E99" s="12"/>
      <c r="F99" s="12"/>
      <c r="G99" s="9"/>
      <c r="H99" s="9"/>
      <c r="I99" s="9"/>
      <c r="J99" s="9"/>
      <c r="K99" s="9"/>
      <c r="L99" s="9"/>
      <c r="M99" s="27"/>
      <c r="N99" s="27"/>
      <c r="O99" s="27"/>
      <c r="Q99" s="12"/>
      <c r="R99" s="12"/>
    </row>
    <row r="100" spans="1:18" s="6" customFormat="1" x14ac:dyDescent="0.2">
      <c r="A100" s="8"/>
      <c r="B100" s="8"/>
      <c r="C100" s="8"/>
      <c r="D100" s="2"/>
      <c r="E100" s="12"/>
      <c r="F100" s="12"/>
      <c r="G100" s="9"/>
      <c r="H100" s="9"/>
      <c r="I100" s="9"/>
      <c r="J100" s="9"/>
      <c r="K100" s="9"/>
      <c r="L100" s="9"/>
      <c r="M100" s="27"/>
      <c r="N100" s="27"/>
      <c r="O100" s="27"/>
      <c r="Q100" s="12"/>
      <c r="R100" s="12"/>
    </row>
    <row r="101" spans="1:18" s="6" customFormat="1" x14ac:dyDescent="0.2">
      <c r="A101" s="8"/>
      <c r="B101" s="8"/>
      <c r="C101" s="8"/>
      <c r="D101" s="2"/>
      <c r="E101" s="12"/>
      <c r="F101" s="12"/>
      <c r="G101" s="9"/>
      <c r="H101" s="9"/>
      <c r="I101" s="9"/>
      <c r="J101" s="9"/>
      <c r="K101" s="9"/>
      <c r="L101" s="9"/>
      <c r="M101" s="27"/>
      <c r="N101" s="27"/>
      <c r="O101" s="27"/>
      <c r="Q101" s="12"/>
      <c r="R101" s="12"/>
    </row>
    <row r="102" spans="1:18" s="6" customFormat="1" x14ac:dyDescent="0.2">
      <c r="A102" s="8"/>
      <c r="B102" s="8"/>
      <c r="C102" s="8"/>
      <c r="D102" s="2"/>
      <c r="E102" s="12"/>
      <c r="F102" s="12"/>
      <c r="G102" s="9"/>
      <c r="H102" s="9"/>
      <c r="I102" s="9"/>
      <c r="J102" s="9"/>
      <c r="K102" s="9"/>
      <c r="L102" s="9"/>
      <c r="M102" s="27"/>
      <c r="N102" s="27"/>
      <c r="O102" s="27"/>
      <c r="Q102" s="12"/>
      <c r="R102" s="12"/>
    </row>
    <row r="103" spans="1:18" s="6" customFormat="1" x14ac:dyDescent="0.2">
      <c r="A103" s="8"/>
      <c r="B103" s="8"/>
      <c r="C103" s="8"/>
      <c r="D103" s="2"/>
      <c r="E103" s="12"/>
      <c r="F103" s="12"/>
      <c r="G103" s="9"/>
      <c r="H103" s="9"/>
      <c r="I103" s="9"/>
      <c r="J103" s="9"/>
      <c r="K103" s="9"/>
      <c r="L103" s="9"/>
      <c r="M103" s="27"/>
      <c r="N103" s="27"/>
      <c r="O103" s="27"/>
      <c r="Q103" s="12"/>
      <c r="R103" s="12"/>
    </row>
    <row r="104" spans="1:18" s="6" customFormat="1" x14ac:dyDescent="0.2">
      <c r="A104" s="8"/>
      <c r="B104" s="8"/>
      <c r="C104" s="8"/>
      <c r="D104" s="2"/>
      <c r="E104" s="12"/>
      <c r="F104" s="12"/>
      <c r="G104" s="9"/>
      <c r="H104" s="9"/>
      <c r="I104" s="9"/>
      <c r="J104" s="9"/>
      <c r="K104" s="9"/>
      <c r="L104" s="9"/>
      <c r="M104" s="27"/>
      <c r="N104" s="27"/>
      <c r="O104" s="27"/>
      <c r="Q104" s="12"/>
      <c r="R104" s="12"/>
    </row>
    <row r="105" spans="1:18" s="6" customFormat="1" x14ac:dyDescent="0.2">
      <c r="A105" s="8"/>
      <c r="B105" s="8"/>
      <c r="C105" s="8"/>
      <c r="D105" s="2"/>
      <c r="E105" s="12"/>
      <c r="F105" s="12"/>
      <c r="G105" s="9"/>
      <c r="H105" s="9"/>
      <c r="I105" s="9"/>
      <c r="J105" s="9"/>
      <c r="K105" s="9"/>
      <c r="L105" s="9"/>
      <c r="M105" s="27"/>
      <c r="N105" s="27"/>
      <c r="O105" s="27"/>
      <c r="Q105" s="12"/>
      <c r="R105" s="12"/>
    </row>
    <row r="106" spans="1:18" s="6" customFormat="1" x14ac:dyDescent="0.2">
      <c r="A106" s="8"/>
      <c r="B106" s="8"/>
      <c r="C106" s="8"/>
      <c r="D106" s="2"/>
      <c r="E106" s="12"/>
      <c r="F106" s="12"/>
      <c r="G106" s="9"/>
      <c r="H106" s="9"/>
      <c r="I106" s="9"/>
      <c r="J106" s="9"/>
      <c r="K106" s="9"/>
      <c r="L106" s="9"/>
      <c r="M106" s="27"/>
      <c r="N106" s="27"/>
      <c r="O106" s="27"/>
      <c r="Q106" s="12"/>
      <c r="R106" s="12"/>
    </row>
    <row r="107" spans="1:18" s="6" customFormat="1" x14ac:dyDescent="0.2">
      <c r="A107" s="8"/>
      <c r="B107" s="8"/>
      <c r="C107" s="8"/>
      <c r="D107" s="2"/>
      <c r="E107" s="12"/>
      <c r="F107" s="12"/>
      <c r="G107" s="9"/>
      <c r="H107" s="9"/>
      <c r="I107" s="9"/>
      <c r="J107" s="9"/>
      <c r="K107" s="9"/>
      <c r="L107" s="9"/>
      <c r="M107" s="27"/>
      <c r="N107" s="27"/>
      <c r="O107" s="27"/>
      <c r="Q107" s="12"/>
      <c r="R107" s="12"/>
    </row>
    <row r="108" spans="1:18" s="6" customFormat="1" x14ac:dyDescent="0.2">
      <c r="A108" s="8"/>
      <c r="B108" s="8"/>
      <c r="C108" s="8"/>
      <c r="D108" s="2"/>
      <c r="E108" s="12"/>
      <c r="F108" s="12"/>
      <c r="G108" s="9"/>
      <c r="H108" s="9"/>
      <c r="I108" s="9"/>
      <c r="J108" s="9"/>
      <c r="K108" s="9"/>
      <c r="L108" s="9"/>
      <c r="M108" s="27"/>
      <c r="N108" s="27"/>
      <c r="O108" s="27"/>
      <c r="Q108" s="12"/>
      <c r="R108" s="12"/>
    </row>
    <row r="109" spans="1:18" s="6" customFormat="1" x14ac:dyDescent="0.2">
      <c r="A109" s="8"/>
      <c r="B109" s="8"/>
      <c r="C109" s="8"/>
      <c r="D109" s="2"/>
      <c r="E109" s="12"/>
      <c r="F109" s="12"/>
      <c r="G109" s="9"/>
      <c r="H109" s="9"/>
      <c r="I109" s="9"/>
      <c r="J109" s="9"/>
      <c r="K109" s="9"/>
      <c r="L109" s="9"/>
      <c r="M109" s="27"/>
      <c r="N109" s="27"/>
      <c r="O109" s="27"/>
      <c r="Q109" s="12"/>
      <c r="R109" s="12"/>
    </row>
    <row r="110" spans="1:18" s="6" customFormat="1" x14ac:dyDescent="0.2">
      <c r="A110" s="8"/>
      <c r="B110" s="8"/>
      <c r="C110" s="8"/>
      <c r="D110" s="2"/>
      <c r="E110" s="12"/>
      <c r="F110" s="12"/>
      <c r="G110" s="9"/>
      <c r="H110" s="9"/>
      <c r="I110" s="9"/>
      <c r="J110" s="9"/>
      <c r="K110" s="9"/>
      <c r="L110" s="9"/>
      <c r="M110" s="27"/>
      <c r="N110" s="27"/>
      <c r="O110" s="27"/>
      <c r="Q110" s="12"/>
      <c r="R110" s="12"/>
    </row>
    <row r="111" spans="1:18" s="6" customFormat="1" x14ac:dyDescent="0.2">
      <c r="A111" s="8"/>
      <c r="B111" s="8"/>
      <c r="C111" s="8"/>
      <c r="D111" s="2"/>
      <c r="E111" s="12"/>
      <c r="F111" s="12"/>
      <c r="G111" s="9"/>
      <c r="H111" s="9"/>
      <c r="I111" s="9"/>
      <c r="J111" s="9"/>
      <c r="K111" s="9"/>
      <c r="L111" s="9"/>
      <c r="M111" s="27"/>
      <c r="N111" s="27"/>
      <c r="O111" s="27"/>
      <c r="Q111" s="12"/>
      <c r="R111" s="12"/>
    </row>
    <row r="112" spans="1:18" s="6" customFormat="1" x14ac:dyDescent="0.2">
      <c r="A112" s="8"/>
      <c r="B112" s="8"/>
      <c r="C112" s="8"/>
      <c r="D112" s="2"/>
      <c r="E112" s="12"/>
      <c r="F112" s="12"/>
      <c r="G112" s="9"/>
      <c r="H112" s="9"/>
      <c r="I112" s="9"/>
      <c r="J112" s="9"/>
      <c r="K112" s="9"/>
      <c r="L112" s="9"/>
      <c r="M112" s="27"/>
      <c r="N112" s="27"/>
      <c r="O112" s="27"/>
      <c r="Q112" s="12"/>
      <c r="R112" s="12"/>
    </row>
    <row r="113" spans="1:18" s="6" customFormat="1" x14ac:dyDescent="0.2">
      <c r="A113" s="8"/>
      <c r="B113" s="8"/>
      <c r="C113" s="8"/>
      <c r="D113" s="2"/>
      <c r="E113" s="12"/>
      <c r="F113" s="12"/>
      <c r="G113" s="9"/>
      <c r="H113" s="9"/>
      <c r="I113" s="9"/>
      <c r="J113" s="9"/>
      <c r="K113" s="9"/>
      <c r="L113" s="9"/>
      <c r="M113" s="27"/>
      <c r="N113" s="27"/>
      <c r="O113" s="27"/>
      <c r="Q113" s="12"/>
      <c r="R113" s="12"/>
    </row>
    <row r="114" spans="1:18" s="6" customFormat="1" x14ac:dyDescent="0.2">
      <c r="A114" s="8"/>
      <c r="B114" s="8"/>
      <c r="C114" s="8"/>
      <c r="D114" s="2"/>
      <c r="E114" s="12"/>
      <c r="F114" s="12"/>
      <c r="G114" s="9"/>
      <c r="H114" s="9"/>
      <c r="I114" s="9"/>
      <c r="J114" s="9"/>
      <c r="K114" s="9"/>
      <c r="L114" s="9"/>
      <c r="M114" s="27"/>
      <c r="N114" s="27"/>
      <c r="O114" s="27"/>
      <c r="Q114" s="12"/>
      <c r="R114" s="12"/>
    </row>
    <row r="115" spans="1:18" s="6" customFormat="1" x14ac:dyDescent="0.2">
      <c r="A115" s="8"/>
      <c r="B115" s="8"/>
      <c r="C115" s="8"/>
      <c r="D115" s="2"/>
      <c r="E115" s="12"/>
      <c r="F115" s="12"/>
      <c r="G115" s="9"/>
      <c r="H115" s="9"/>
      <c r="I115" s="9"/>
      <c r="J115" s="9"/>
      <c r="K115" s="9"/>
      <c r="L115" s="9"/>
      <c r="M115" s="27"/>
      <c r="N115" s="27"/>
      <c r="O115" s="27"/>
      <c r="Q115" s="12"/>
      <c r="R115" s="12"/>
    </row>
    <row r="116" spans="1:18" s="6" customFormat="1" x14ac:dyDescent="0.2">
      <c r="A116" s="8"/>
      <c r="B116" s="8"/>
      <c r="C116" s="8"/>
      <c r="D116" s="2"/>
      <c r="E116" s="12"/>
      <c r="F116" s="12"/>
      <c r="G116" s="9"/>
      <c r="H116" s="9"/>
      <c r="I116" s="9"/>
      <c r="J116" s="9"/>
      <c r="K116" s="9"/>
      <c r="L116" s="9"/>
      <c r="M116" s="27"/>
      <c r="N116" s="27"/>
      <c r="O116" s="27"/>
      <c r="Q116" s="12"/>
      <c r="R116" s="12"/>
    </row>
    <row r="117" spans="1:18" s="6" customFormat="1" x14ac:dyDescent="0.2">
      <c r="A117" s="8"/>
      <c r="B117" s="8"/>
      <c r="C117" s="8"/>
      <c r="D117" s="2"/>
      <c r="E117" s="12"/>
      <c r="F117" s="12"/>
      <c r="G117" s="9"/>
      <c r="H117" s="9"/>
      <c r="I117" s="9"/>
      <c r="J117" s="9"/>
      <c r="K117" s="9"/>
      <c r="L117" s="9"/>
      <c r="M117" s="27"/>
      <c r="N117" s="27"/>
      <c r="O117" s="27"/>
      <c r="Q117" s="12"/>
      <c r="R117" s="12"/>
    </row>
    <row r="118" spans="1:18" s="6" customFormat="1" x14ac:dyDescent="0.2">
      <c r="A118" s="8"/>
      <c r="B118" s="8"/>
      <c r="C118" s="8"/>
      <c r="D118" s="2"/>
      <c r="E118" s="12"/>
      <c r="F118" s="12"/>
      <c r="G118" s="9"/>
      <c r="H118" s="9"/>
      <c r="I118" s="9"/>
      <c r="J118" s="9"/>
      <c r="K118" s="9"/>
      <c r="L118" s="9"/>
      <c r="M118" s="27"/>
      <c r="N118" s="27"/>
      <c r="O118" s="27"/>
      <c r="Q118" s="12"/>
      <c r="R118" s="12"/>
    </row>
    <row r="119" spans="1:18" s="6" customFormat="1" x14ac:dyDescent="0.2">
      <c r="A119" s="8"/>
      <c r="B119" s="8"/>
      <c r="C119" s="8"/>
      <c r="D119" s="2"/>
      <c r="E119" s="12"/>
      <c r="F119" s="12"/>
      <c r="G119" s="9"/>
      <c r="H119" s="9"/>
      <c r="I119" s="9"/>
      <c r="J119" s="9"/>
      <c r="K119" s="9"/>
      <c r="L119" s="9"/>
      <c r="M119" s="27"/>
      <c r="N119" s="27"/>
      <c r="O119" s="27"/>
      <c r="Q119" s="12"/>
      <c r="R119" s="12"/>
    </row>
    <row r="120" spans="1:18" s="6" customFormat="1" x14ac:dyDescent="0.2">
      <c r="A120" s="8"/>
      <c r="B120" s="8"/>
      <c r="C120" s="8"/>
      <c r="D120" s="2"/>
      <c r="E120" s="12"/>
      <c r="F120" s="12"/>
      <c r="G120" s="9"/>
      <c r="H120" s="9"/>
      <c r="I120" s="9"/>
      <c r="J120" s="9"/>
      <c r="K120" s="9"/>
      <c r="L120" s="9"/>
      <c r="M120" s="27"/>
      <c r="N120" s="27"/>
      <c r="O120" s="27"/>
      <c r="Q120" s="12"/>
      <c r="R120" s="12"/>
    </row>
    <row r="121" spans="1:18" s="6" customFormat="1" x14ac:dyDescent="0.2">
      <c r="A121" s="8"/>
      <c r="B121" s="8"/>
      <c r="C121" s="8"/>
      <c r="D121" s="2"/>
      <c r="E121" s="12"/>
      <c r="F121" s="12"/>
      <c r="G121" s="9"/>
      <c r="H121" s="9"/>
      <c r="I121" s="9"/>
      <c r="J121" s="9"/>
      <c r="K121" s="9"/>
      <c r="L121" s="9"/>
      <c r="M121" s="27"/>
      <c r="N121" s="27"/>
      <c r="O121" s="27"/>
      <c r="Q121" s="12"/>
      <c r="R121" s="12"/>
    </row>
    <row r="122" spans="1:18" s="6" customFormat="1" x14ac:dyDescent="0.2">
      <c r="A122" s="8"/>
      <c r="B122" s="8"/>
      <c r="C122" s="8"/>
      <c r="D122" s="2"/>
      <c r="E122" s="12"/>
      <c r="F122" s="12"/>
      <c r="G122" s="9"/>
      <c r="H122" s="9"/>
      <c r="I122" s="9"/>
      <c r="J122" s="9"/>
      <c r="K122" s="9"/>
      <c r="L122" s="9"/>
      <c r="M122" s="27"/>
      <c r="N122" s="27"/>
      <c r="O122" s="27"/>
      <c r="Q122" s="12"/>
      <c r="R122" s="12"/>
    </row>
    <row r="123" spans="1:18" s="6" customFormat="1" x14ac:dyDescent="0.2">
      <c r="A123" s="8"/>
      <c r="B123" s="8"/>
      <c r="C123" s="8"/>
      <c r="D123" s="2"/>
      <c r="E123" s="12"/>
      <c r="F123" s="12"/>
      <c r="G123" s="9"/>
      <c r="H123" s="9"/>
      <c r="I123" s="9"/>
      <c r="J123" s="9"/>
      <c r="K123" s="9"/>
      <c r="L123" s="9"/>
      <c r="M123" s="27"/>
      <c r="N123" s="27"/>
      <c r="O123" s="27"/>
      <c r="Q123" s="12"/>
      <c r="R123" s="12"/>
    </row>
    <row r="124" spans="1:18" s="6" customFormat="1" x14ac:dyDescent="0.2">
      <c r="A124" s="8"/>
      <c r="B124" s="8"/>
      <c r="C124" s="8"/>
      <c r="D124" s="2"/>
      <c r="E124" s="12"/>
      <c r="F124" s="12"/>
      <c r="G124" s="9"/>
      <c r="H124" s="9"/>
      <c r="I124" s="9"/>
      <c r="J124" s="9"/>
      <c r="K124" s="9"/>
      <c r="L124" s="9"/>
      <c r="M124" s="27"/>
      <c r="N124" s="27"/>
      <c r="O124" s="27"/>
      <c r="Q124" s="12"/>
      <c r="R124" s="12"/>
    </row>
    <row r="125" spans="1:18" s="6" customFormat="1" x14ac:dyDescent="0.2">
      <c r="A125" s="8"/>
      <c r="B125" s="8"/>
      <c r="C125" s="8"/>
      <c r="D125" s="2"/>
      <c r="E125" s="12"/>
      <c r="F125" s="12"/>
      <c r="G125" s="9"/>
      <c r="H125" s="9"/>
      <c r="I125" s="9"/>
      <c r="J125" s="9"/>
      <c r="K125" s="9"/>
      <c r="L125" s="9"/>
      <c r="M125" s="27"/>
      <c r="N125" s="27"/>
      <c r="O125" s="27"/>
      <c r="Q125" s="12"/>
      <c r="R125" s="12"/>
    </row>
    <row r="126" spans="1:18" s="6" customFormat="1" x14ac:dyDescent="0.2">
      <c r="A126" s="8"/>
      <c r="B126" s="8"/>
      <c r="C126" s="8"/>
      <c r="D126" s="2"/>
      <c r="E126" s="12"/>
      <c r="F126" s="12"/>
      <c r="G126" s="9"/>
      <c r="H126" s="9"/>
      <c r="I126" s="9"/>
      <c r="J126" s="9"/>
      <c r="K126" s="9"/>
      <c r="L126" s="9"/>
      <c r="M126" s="27"/>
      <c r="N126" s="27"/>
      <c r="O126" s="27"/>
      <c r="Q126" s="12"/>
      <c r="R126" s="12"/>
    </row>
    <row r="127" spans="1:18" s="6" customFormat="1" x14ac:dyDescent="0.2">
      <c r="A127" s="8"/>
      <c r="B127" s="8"/>
      <c r="C127" s="8"/>
      <c r="D127" s="2"/>
      <c r="E127" s="12"/>
      <c r="F127" s="12"/>
      <c r="G127" s="9"/>
      <c r="H127" s="9"/>
      <c r="I127" s="9"/>
      <c r="J127" s="9"/>
      <c r="K127" s="9"/>
      <c r="L127" s="9"/>
      <c r="M127" s="27"/>
      <c r="N127" s="27"/>
      <c r="O127" s="27"/>
      <c r="Q127" s="12"/>
      <c r="R127" s="12"/>
    </row>
    <row r="128" spans="1:18" s="6" customFormat="1" x14ac:dyDescent="0.2">
      <c r="A128" s="8"/>
      <c r="B128" s="8"/>
      <c r="C128" s="8"/>
      <c r="D128" s="2"/>
      <c r="E128" s="12"/>
      <c r="F128" s="12"/>
      <c r="G128" s="9"/>
      <c r="H128" s="9"/>
      <c r="I128" s="9"/>
      <c r="J128" s="9"/>
      <c r="K128" s="9"/>
      <c r="L128" s="9"/>
      <c r="M128" s="27"/>
      <c r="N128" s="27"/>
      <c r="O128" s="27"/>
      <c r="Q128" s="12"/>
      <c r="R128" s="12"/>
    </row>
    <row r="129" spans="1:18" s="6" customFormat="1" x14ac:dyDescent="0.2">
      <c r="A129" s="8"/>
      <c r="B129" s="8"/>
      <c r="C129" s="8"/>
      <c r="D129" s="2"/>
      <c r="E129" s="12"/>
      <c r="F129" s="12"/>
      <c r="G129" s="9"/>
      <c r="H129" s="9"/>
      <c r="I129" s="9"/>
      <c r="J129" s="9"/>
      <c r="K129" s="9"/>
      <c r="L129" s="9"/>
      <c r="M129" s="27"/>
      <c r="N129" s="27"/>
      <c r="O129" s="27"/>
      <c r="Q129" s="12"/>
      <c r="R129" s="12"/>
    </row>
    <row r="130" spans="1:18" s="6" customFormat="1" x14ac:dyDescent="0.2">
      <c r="A130" s="8"/>
      <c r="B130" s="8"/>
      <c r="C130" s="8"/>
      <c r="D130" s="2"/>
      <c r="E130" s="12"/>
      <c r="F130" s="12"/>
      <c r="G130" s="9"/>
      <c r="H130" s="9"/>
      <c r="I130" s="9"/>
      <c r="J130" s="9"/>
      <c r="K130" s="9"/>
      <c r="L130" s="9"/>
      <c r="M130" s="27"/>
      <c r="N130" s="27"/>
      <c r="O130" s="27"/>
      <c r="Q130" s="12"/>
      <c r="R130" s="12"/>
    </row>
    <row r="131" spans="1:18" s="6" customFormat="1" x14ac:dyDescent="0.2">
      <c r="A131" s="8"/>
      <c r="B131" s="8"/>
      <c r="C131" s="8"/>
      <c r="D131" s="2"/>
      <c r="E131" s="12"/>
      <c r="F131" s="12"/>
      <c r="G131" s="9"/>
      <c r="H131" s="9"/>
      <c r="I131" s="9"/>
      <c r="J131" s="9"/>
      <c r="K131" s="9"/>
      <c r="L131" s="9"/>
      <c r="M131" s="27"/>
      <c r="N131" s="27"/>
      <c r="O131" s="27"/>
      <c r="Q131" s="12"/>
      <c r="R131" s="12"/>
    </row>
    <row r="132" spans="1:18" s="6" customFormat="1" x14ac:dyDescent="0.2">
      <c r="A132" s="8"/>
      <c r="B132" s="8"/>
      <c r="C132" s="8"/>
      <c r="D132" s="2"/>
      <c r="E132" s="12"/>
      <c r="F132" s="12"/>
      <c r="G132" s="9"/>
      <c r="H132" s="9"/>
      <c r="I132" s="9"/>
      <c r="J132" s="9"/>
      <c r="K132" s="9"/>
      <c r="L132" s="9"/>
      <c r="M132" s="27"/>
      <c r="N132" s="27"/>
      <c r="O132" s="27"/>
      <c r="Q132" s="12"/>
      <c r="R132" s="12"/>
    </row>
    <row r="133" spans="1:18" s="6" customFormat="1" x14ac:dyDescent="0.2">
      <c r="A133" s="8"/>
      <c r="B133" s="8"/>
      <c r="C133" s="8"/>
      <c r="D133" s="2"/>
      <c r="E133" s="12"/>
      <c r="F133" s="12"/>
      <c r="G133" s="9"/>
      <c r="H133" s="9"/>
      <c r="I133" s="9"/>
      <c r="J133" s="9"/>
      <c r="K133" s="9"/>
      <c r="L133" s="9"/>
      <c r="M133" s="27"/>
      <c r="N133" s="27"/>
      <c r="O133" s="27"/>
      <c r="Q133" s="12"/>
      <c r="R133" s="12"/>
    </row>
    <row r="134" spans="1:18" s="6" customFormat="1" x14ac:dyDescent="0.2">
      <c r="A134" s="8"/>
      <c r="B134" s="8"/>
      <c r="C134" s="8"/>
      <c r="D134" s="2"/>
      <c r="E134" s="12"/>
      <c r="F134" s="12"/>
      <c r="G134" s="9"/>
      <c r="H134" s="9"/>
      <c r="I134" s="9"/>
      <c r="J134" s="9"/>
      <c r="K134" s="9"/>
      <c r="L134" s="9"/>
      <c r="M134" s="27"/>
      <c r="N134" s="27"/>
      <c r="O134" s="27"/>
      <c r="Q134" s="12"/>
      <c r="R134" s="12"/>
    </row>
    <row r="135" spans="1:18" s="6" customFormat="1" x14ac:dyDescent="0.2">
      <c r="A135" s="8"/>
      <c r="B135" s="8"/>
      <c r="C135" s="8"/>
      <c r="D135" s="2"/>
      <c r="E135" s="12"/>
      <c r="F135" s="12"/>
      <c r="G135" s="12"/>
      <c r="H135" s="12"/>
      <c r="I135" s="12"/>
      <c r="J135" s="12"/>
      <c r="K135" s="12"/>
      <c r="L135" s="12"/>
      <c r="Q135" s="12"/>
      <c r="R135" s="12"/>
    </row>
    <row r="136" spans="1:18" x14ac:dyDescent="0.2">
      <c r="D136" s="2"/>
    </row>
    <row r="137" spans="1:18" x14ac:dyDescent="0.2">
      <c r="D137" s="2"/>
    </row>
    <row r="138" spans="1:18" x14ac:dyDescent="0.2">
      <c r="D138" s="2"/>
    </row>
    <row r="139" spans="1:18" x14ac:dyDescent="0.2">
      <c r="D139" s="2"/>
    </row>
    <row r="140" spans="1:18" x14ac:dyDescent="0.2">
      <c r="D140" s="2"/>
    </row>
    <row r="141" spans="1:18" x14ac:dyDescent="0.2">
      <c r="D141" s="2"/>
    </row>
    <row r="142" spans="1:18" x14ac:dyDescent="0.2">
      <c r="D142" s="2"/>
    </row>
    <row r="143" spans="1:18" x14ac:dyDescent="0.2">
      <c r="D143" s="2"/>
    </row>
    <row r="144" spans="1:18" x14ac:dyDescent="0.2">
      <c r="D144" s="2"/>
    </row>
    <row r="145" spans="4:4" x14ac:dyDescent="0.2">
      <c r="D145" s="2"/>
    </row>
    <row r="146" spans="4:4" x14ac:dyDescent="0.2">
      <c r="D146" s="2"/>
    </row>
    <row r="147" spans="4:4" x14ac:dyDescent="0.2">
      <c r="D147" s="2"/>
    </row>
    <row r="148" spans="4:4" x14ac:dyDescent="0.2">
      <c r="D148" s="2"/>
    </row>
    <row r="149" spans="4:4" x14ac:dyDescent="0.2">
      <c r="D149" s="2"/>
    </row>
    <row r="150" spans="4:4" x14ac:dyDescent="0.2">
      <c r="D150" s="2"/>
    </row>
    <row r="151" spans="4:4" x14ac:dyDescent="0.2">
      <c r="D151" s="2"/>
    </row>
    <row r="152" spans="4:4" x14ac:dyDescent="0.2">
      <c r="D152" s="2"/>
    </row>
    <row r="153" spans="4:4" x14ac:dyDescent="0.2">
      <c r="D153" s="2"/>
    </row>
    <row r="154" spans="4:4" x14ac:dyDescent="0.2">
      <c r="D154" s="2"/>
    </row>
    <row r="155" spans="4:4" x14ac:dyDescent="0.2">
      <c r="D155" s="2"/>
    </row>
    <row r="156" spans="4:4" x14ac:dyDescent="0.2">
      <c r="D156" s="2"/>
    </row>
    <row r="157" spans="4:4" x14ac:dyDescent="0.2">
      <c r="D157" s="2"/>
    </row>
    <row r="158" spans="4:4" x14ac:dyDescent="0.2">
      <c r="D158" s="2"/>
    </row>
    <row r="159" spans="4:4" x14ac:dyDescent="0.2">
      <c r="D159" s="2"/>
    </row>
    <row r="160" spans="4:4" x14ac:dyDescent="0.2">
      <c r="D160" s="2"/>
    </row>
    <row r="161" spans="4:4" x14ac:dyDescent="0.2">
      <c r="D161" s="2"/>
    </row>
    <row r="162" spans="4:4" x14ac:dyDescent="0.2">
      <c r="D162" s="2"/>
    </row>
    <row r="163" spans="4:4" x14ac:dyDescent="0.2">
      <c r="D163" s="2"/>
    </row>
    <row r="164" spans="4:4" x14ac:dyDescent="0.2">
      <c r="D164" s="2"/>
    </row>
    <row r="165" spans="4:4" x14ac:dyDescent="0.2">
      <c r="D165" s="2"/>
    </row>
    <row r="166" spans="4:4" x14ac:dyDescent="0.2">
      <c r="D166" s="2"/>
    </row>
    <row r="167" spans="4:4" x14ac:dyDescent="0.2">
      <c r="D167" s="2"/>
    </row>
    <row r="168" spans="4:4" x14ac:dyDescent="0.2">
      <c r="D168" s="2"/>
    </row>
    <row r="169" spans="4:4" x14ac:dyDescent="0.2">
      <c r="D169" s="2"/>
    </row>
    <row r="170" spans="4:4" x14ac:dyDescent="0.2">
      <c r="D170" s="2"/>
    </row>
    <row r="171" spans="4:4" x14ac:dyDescent="0.2">
      <c r="D171" s="2"/>
    </row>
    <row r="172" spans="4:4" x14ac:dyDescent="0.2">
      <c r="D172" s="2"/>
    </row>
    <row r="173" spans="4:4" x14ac:dyDescent="0.2">
      <c r="D173" s="2"/>
    </row>
    <row r="174" spans="4:4" x14ac:dyDescent="0.2">
      <c r="D174" s="2"/>
    </row>
    <row r="175" spans="4:4" x14ac:dyDescent="0.2">
      <c r="D175" s="2"/>
    </row>
    <row r="176" spans="4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  <row r="207" spans="4:4" x14ac:dyDescent="0.2">
      <c r="D207" s="2"/>
    </row>
    <row r="208" spans="4:4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</sheetData>
  <mergeCells count="33">
    <mergeCell ref="K68:Q68"/>
    <mergeCell ref="K69:Q69"/>
    <mergeCell ref="K70:Q70"/>
    <mergeCell ref="J71:P71"/>
    <mergeCell ref="J72:P72"/>
    <mergeCell ref="D2:R2"/>
    <mergeCell ref="D7:R7"/>
    <mergeCell ref="B68:H68"/>
    <mergeCell ref="B69:H69"/>
    <mergeCell ref="B71:H71"/>
    <mergeCell ref="B70:H70"/>
    <mergeCell ref="B63:H63"/>
    <mergeCell ref="B64:H64"/>
    <mergeCell ref="B65:H65"/>
    <mergeCell ref="B66:H66"/>
    <mergeCell ref="B67:H67"/>
    <mergeCell ref="K63:Q63"/>
    <mergeCell ref="K64:Q64"/>
    <mergeCell ref="K65:Q65"/>
    <mergeCell ref="K66:Q66"/>
    <mergeCell ref="K67:Q67"/>
    <mergeCell ref="D36:E36"/>
    <mergeCell ref="D37:E37"/>
    <mergeCell ref="D3:R3"/>
    <mergeCell ref="D4:R4"/>
    <mergeCell ref="D5:R5"/>
    <mergeCell ref="D6:R6"/>
    <mergeCell ref="E60:G60"/>
    <mergeCell ref="D38:E38"/>
    <mergeCell ref="D40:E40"/>
    <mergeCell ref="D42:E42"/>
    <mergeCell ref="D56:Q56"/>
    <mergeCell ref="E59:G59"/>
  </mergeCells>
  <printOptions horizontalCentered="1" verticalCentered="1"/>
  <pageMargins left="0.15748031496062992" right="0.15748031496062992" top="0.19685039370078741" bottom="0.19685039370078741" header="0.51181102362204722" footer="0.51181102362204722"/>
  <pageSetup scale="59" orientation="landscape" r:id="rId1"/>
  <ignoredErrors>
    <ignoredError sqref="N30:O30 N31:O33 E19:F28 N18:O21 N45 D59:M60 P51:Q51 P54 P35 E17 E18 E32:F32 E29 E30 E31 E33 N17 N23:O24 N22 N54 N47:O53 N46 G17:H18 P17:P22 H3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4"/>
  <sheetViews>
    <sheetView showGridLines="0" zoomScaleNormal="100" workbookViewId="0">
      <selection activeCell="D3" sqref="D3:J3"/>
    </sheetView>
  </sheetViews>
  <sheetFormatPr baseColWidth="10" defaultRowHeight="14.25" x14ac:dyDescent="0.2"/>
  <cols>
    <col min="1" max="1" width="3.140625" style="8" customWidth="1"/>
    <col min="2" max="2" width="3.42578125" style="8" customWidth="1"/>
    <col min="3" max="3" width="4.5703125" style="8" customWidth="1"/>
    <col min="4" max="4" width="53.7109375" style="12" customWidth="1"/>
    <col min="5" max="5" width="16.85546875" style="6" customWidth="1"/>
    <col min="6" max="6" width="20.140625" style="12" customWidth="1"/>
    <col min="7" max="7" width="19" style="12" customWidth="1"/>
    <col min="8" max="8" width="19.7109375" style="12" customWidth="1"/>
    <col min="9" max="9" width="21.7109375" style="12" customWidth="1"/>
    <col min="10" max="10" width="2" style="12" customWidth="1"/>
    <col min="11" max="16384" width="11.42578125" style="12"/>
  </cols>
  <sheetData>
    <row r="1" spans="1:10" ht="19.5" customHeight="1" x14ac:dyDescent="0.3">
      <c r="A1" s="368"/>
      <c r="B1" s="368"/>
      <c r="C1" s="368"/>
      <c r="D1" s="569" t="s">
        <v>38</v>
      </c>
      <c r="E1" s="570"/>
      <c r="F1" s="570"/>
      <c r="G1" s="570"/>
      <c r="H1" s="570"/>
      <c r="I1" s="570"/>
      <c r="J1" s="571"/>
    </row>
    <row r="2" spans="1:10" ht="15" customHeight="1" x14ac:dyDescent="0.25">
      <c r="A2" s="367"/>
      <c r="B2" s="367"/>
      <c r="C2" s="367"/>
      <c r="D2" s="572" t="str">
        <f>BALANZA!Q9</f>
        <v>Cuenta Pública 2016</v>
      </c>
      <c r="E2" s="573"/>
      <c r="F2" s="573"/>
      <c r="G2" s="573"/>
      <c r="H2" s="573"/>
      <c r="I2" s="573"/>
      <c r="J2" s="574"/>
    </row>
    <row r="3" spans="1:10" ht="14.25" customHeight="1" x14ac:dyDescent="0.2">
      <c r="A3" s="366"/>
      <c r="B3" s="366"/>
      <c r="C3" s="366"/>
      <c r="D3" s="575" t="s">
        <v>177</v>
      </c>
      <c r="E3" s="576"/>
      <c r="F3" s="576"/>
      <c r="G3" s="576"/>
      <c r="H3" s="576"/>
      <c r="I3" s="576"/>
      <c r="J3" s="577"/>
    </row>
    <row r="4" spans="1:10" ht="14.25" customHeight="1" x14ac:dyDescent="0.2">
      <c r="A4" s="366"/>
      <c r="B4" s="366"/>
      <c r="C4" s="366"/>
      <c r="D4" s="575" t="str">
        <f>BALANZA!Q8</f>
        <v>Del 1 de enero al 31 de marzo de 2016</v>
      </c>
      <c r="E4" s="576"/>
      <c r="F4" s="576"/>
      <c r="G4" s="576"/>
      <c r="H4" s="576"/>
      <c r="I4" s="576"/>
      <c r="J4" s="577"/>
    </row>
    <row r="5" spans="1:10" ht="14.25" customHeight="1" x14ac:dyDescent="0.2">
      <c r="A5" s="366"/>
      <c r="B5" s="366"/>
      <c r="C5" s="366"/>
      <c r="D5" s="575" t="s">
        <v>0</v>
      </c>
      <c r="E5" s="576"/>
      <c r="F5" s="576"/>
      <c r="G5" s="576"/>
      <c r="H5" s="576"/>
      <c r="I5" s="576"/>
      <c r="J5" s="577"/>
    </row>
    <row r="6" spans="1:10" ht="14.25" customHeight="1" x14ac:dyDescent="0.2">
      <c r="A6" s="356"/>
      <c r="B6" s="356"/>
      <c r="C6" s="356"/>
      <c r="D6" s="575" t="str">
        <f>BALANZA!Q5</f>
        <v>EL COLEGIO DE TLAXCALA, A.C.</v>
      </c>
      <c r="E6" s="576"/>
      <c r="F6" s="576"/>
      <c r="G6" s="576"/>
      <c r="H6" s="576"/>
      <c r="I6" s="576"/>
      <c r="J6" s="577"/>
    </row>
    <row r="7" spans="1:10" x14ac:dyDescent="0.2">
      <c r="A7" s="76"/>
      <c r="B7" s="76"/>
      <c r="C7" s="76"/>
      <c r="D7" s="442"/>
      <c r="E7" s="443"/>
      <c r="F7" s="443"/>
      <c r="G7" s="443"/>
      <c r="H7" s="87"/>
      <c r="I7" s="87"/>
      <c r="J7" s="313"/>
    </row>
    <row r="8" spans="1:10" ht="22.5" x14ac:dyDescent="0.2">
      <c r="A8" s="5" t="s">
        <v>12</v>
      </c>
      <c r="B8" s="5" t="s">
        <v>5</v>
      </c>
      <c r="C8" s="5" t="s">
        <v>36</v>
      </c>
      <c r="D8" s="314" t="s">
        <v>95</v>
      </c>
      <c r="E8" s="115" t="s">
        <v>6</v>
      </c>
      <c r="F8" s="115" t="s">
        <v>20</v>
      </c>
      <c r="G8" s="115" t="s">
        <v>22</v>
      </c>
      <c r="H8" s="115" t="s">
        <v>24</v>
      </c>
      <c r="I8" s="115" t="s">
        <v>25</v>
      </c>
      <c r="J8" s="313"/>
    </row>
    <row r="9" spans="1:10" ht="12.75" customHeight="1" x14ac:dyDescent="0.2">
      <c r="A9" s="5" t="s">
        <v>3</v>
      </c>
      <c r="B9" s="5" t="s">
        <v>3</v>
      </c>
      <c r="C9" s="5" t="s">
        <v>3</v>
      </c>
      <c r="D9" s="89" t="s">
        <v>3</v>
      </c>
      <c r="E9" s="71" t="s">
        <v>170</v>
      </c>
      <c r="F9" s="71" t="s">
        <v>171</v>
      </c>
      <c r="G9" s="72" t="s">
        <v>172</v>
      </c>
      <c r="H9" s="72" t="s">
        <v>173</v>
      </c>
      <c r="I9" s="72" t="s">
        <v>174</v>
      </c>
      <c r="J9" s="73"/>
    </row>
    <row r="10" spans="1:10" ht="12.75" customHeight="1" x14ac:dyDescent="0.2">
      <c r="A10" s="5"/>
      <c r="B10" s="5"/>
      <c r="C10" s="5"/>
      <c r="D10" s="446" t="s">
        <v>40</v>
      </c>
      <c r="E10" s="447">
        <v>1</v>
      </c>
      <c r="F10" s="447">
        <v>2</v>
      </c>
      <c r="G10" s="74">
        <v>3</v>
      </c>
      <c r="H10" s="74" t="s">
        <v>175</v>
      </c>
      <c r="I10" s="74" t="s">
        <v>176</v>
      </c>
      <c r="J10" s="75"/>
    </row>
    <row r="11" spans="1:10" x14ac:dyDescent="0.2">
      <c r="A11" s="5"/>
      <c r="B11" s="5"/>
      <c r="C11" s="5"/>
      <c r="D11" s="314"/>
      <c r="E11" s="115"/>
      <c r="F11" s="87"/>
      <c r="G11" s="87"/>
      <c r="H11" s="87"/>
      <c r="I11" s="87"/>
      <c r="J11" s="313"/>
    </row>
    <row r="12" spans="1:10" ht="14.25" customHeight="1" x14ac:dyDescent="0.2">
      <c r="A12" s="5"/>
      <c r="B12" s="5"/>
      <c r="C12" s="5"/>
      <c r="D12" s="450" t="s">
        <v>96</v>
      </c>
      <c r="E12" s="17">
        <f>+E14+E25-1</f>
        <v>13156894.939999999</v>
      </c>
      <c r="F12" s="17">
        <f t="shared" ref="F12:G12" si="0">+F14+F25</f>
        <v>13938627</v>
      </c>
      <c r="G12" s="17">
        <f t="shared" si="0"/>
        <v>18146011</v>
      </c>
      <c r="H12" s="472">
        <f>-G12+F12+E12+1</f>
        <v>8949511.9399999995</v>
      </c>
      <c r="I12" s="472">
        <f>H12-E12</f>
        <v>-4207383</v>
      </c>
      <c r="J12" s="313"/>
    </row>
    <row r="13" spans="1:10" x14ac:dyDescent="0.2">
      <c r="A13" s="5"/>
      <c r="B13" s="5"/>
      <c r="C13" s="5"/>
      <c r="D13" s="450"/>
      <c r="E13" s="17"/>
      <c r="F13" s="17"/>
      <c r="G13" s="17"/>
      <c r="H13" s="17"/>
      <c r="I13" s="17"/>
      <c r="J13" s="313"/>
    </row>
    <row r="14" spans="1:10" ht="14.25" customHeight="1" x14ac:dyDescent="0.2">
      <c r="A14" s="15"/>
      <c r="B14" s="15"/>
      <c r="C14" s="15"/>
      <c r="D14" s="444" t="s">
        <v>97</v>
      </c>
      <c r="E14" s="17">
        <f>SUM(E16:E22)</f>
        <v>9755587</v>
      </c>
      <c r="F14" s="17">
        <f t="shared" ref="F14:G14" si="1">SUM(F16:F22)</f>
        <v>13938627</v>
      </c>
      <c r="G14" s="17">
        <f t="shared" si="1"/>
        <v>18146011</v>
      </c>
      <c r="H14" s="472">
        <f>-G14+F14+E14</f>
        <v>5548203</v>
      </c>
      <c r="I14" s="472">
        <f>H14-E14</f>
        <v>-4207384</v>
      </c>
      <c r="J14" s="313"/>
    </row>
    <row r="15" spans="1:10" x14ac:dyDescent="0.2">
      <c r="A15" s="15"/>
      <c r="B15" s="15"/>
      <c r="C15" s="15"/>
      <c r="D15" s="451"/>
      <c r="E15" s="33"/>
      <c r="F15" s="33"/>
      <c r="G15" s="33"/>
      <c r="H15" s="33"/>
      <c r="I15" s="33"/>
      <c r="J15" s="313"/>
    </row>
    <row r="16" spans="1:10" ht="14.25" customHeight="1" x14ac:dyDescent="0.2">
      <c r="A16" s="8">
        <v>1</v>
      </c>
      <c r="B16" s="8">
        <v>1</v>
      </c>
      <c r="C16" s="8">
        <v>1</v>
      </c>
      <c r="D16" s="451" t="s">
        <v>99</v>
      </c>
      <c r="E16" s="21">
        <f>BALANZA!G5</f>
        <v>9739632</v>
      </c>
      <c r="F16" s="21">
        <f>BALANZA!H5</f>
        <v>13923261</v>
      </c>
      <c r="G16" s="21">
        <f>BALANZA!I5</f>
        <v>18143948</v>
      </c>
      <c r="H16" s="21">
        <f>-G16+F16+E16</f>
        <v>5518945</v>
      </c>
      <c r="I16" s="21">
        <f>H16-E16</f>
        <v>-4220687</v>
      </c>
      <c r="J16" s="313"/>
    </row>
    <row r="17" spans="1:10" ht="14.25" customHeight="1" x14ac:dyDescent="0.2">
      <c r="A17" s="8">
        <v>1</v>
      </c>
      <c r="B17" s="8">
        <v>1</v>
      </c>
      <c r="C17" s="8">
        <v>2</v>
      </c>
      <c r="D17" s="451" t="s">
        <v>101</v>
      </c>
      <c r="E17" s="21">
        <f>BALANZA!G39</f>
        <v>15955</v>
      </c>
      <c r="F17" s="21">
        <f>BALANZA!H42</f>
        <v>14068</v>
      </c>
      <c r="G17" s="21">
        <f>BALANZA!I42</f>
        <v>1071</v>
      </c>
      <c r="H17" s="21">
        <f t="shared" ref="H17:H18" si="2">-G17+F17+E17</f>
        <v>28952</v>
      </c>
      <c r="I17" s="21">
        <f>H17-E17</f>
        <v>12997</v>
      </c>
      <c r="J17" s="313"/>
    </row>
    <row r="18" spans="1:10" ht="14.25" customHeight="1" x14ac:dyDescent="0.2">
      <c r="A18" s="8">
        <v>1</v>
      </c>
      <c r="B18" s="8">
        <v>1</v>
      </c>
      <c r="C18" s="8">
        <v>3</v>
      </c>
      <c r="D18" s="451" t="s">
        <v>103</v>
      </c>
      <c r="E18" s="21">
        <v>0</v>
      </c>
      <c r="F18" s="21">
        <f>BALANZA!H70</f>
        <v>1298</v>
      </c>
      <c r="G18" s="21">
        <f>BALANZA!I70</f>
        <v>992</v>
      </c>
      <c r="H18" s="21">
        <f t="shared" si="2"/>
        <v>306</v>
      </c>
      <c r="I18" s="21">
        <f>H18-E18</f>
        <v>306</v>
      </c>
      <c r="J18" s="313"/>
    </row>
    <row r="19" spans="1:10" ht="14.25" customHeight="1" x14ac:dyDescent="0.2">
      <c r="A19" s="8">
        <v>1</v>
      </c>
      <c r="B19" s="8">
        <v>1</v>
      </c>
      <c r="C19" s="8">
        <v>4</v>
      </c>
      <c r="D19" s="451" t="s">
        <v>105</v>
      </c>
      <c r="E19" s="21">
        <v>0</v>
      </c>
      <c r="F19" s="21">
        <v>0</v>
      </c>
      <c r="G19" s="21">
        <v>0</v>
      </c>
      <c r="H19" s="21">
        <f t="shared" ref="H19:H23" si="3">E19+F19-I19</f>
        <v>0</v>
      </c>
      <c r="I19" s="21">
        <v>0</v>
      </c>
      <c r="J19" s="313"/>
    </row>
    <row r="20" spans="1:10" ht="14.25" customHeight="1" x14ac:dyDescent="0.2">
      <c r="A20" s="8">
        <v>1</v>
      </c>
      <c r="B20" s="8">
        <v>1</v>
      </c>
      <c r="C20" s="8">
        <v>5</v>
      </c>
      <c r="D20" s="451" t="s">
        <v>107</v>
      </c>
      <c r="E20" s="21">
        <v>0</v>
      </c>
      <c r="F20" s="21">
        <v>0</v>
      </c>
      <c r="G20" s="21">
        <v>0</v>
      </c>
      <c r="H20" s="21">
        <f t="shared" si="3"/>
        <v>0</v>
      </c>
      <c r="I20" s="21">
        <v>0</v>
      </c>
      <c r="J20" s="313"/>
    </row>
    <row r="21" spans="1:10" ht="14.25" customHeight="1" x14ac:dyDescent="0.2">
      <c r="A21" s="8">
        <v>1</v>
      </c>
      <c r="B21" s="8">
        <v>1</v>
      </c>
      <c r="C21" s="8">
        <v>6</v>
      </c>
      <c r="D21" s="451" t="s">
        <v>109</v>
      </c>
      <c r="E21" s="21">
        <v>0</v>
      </c>
      <c r="F21" s="21">
        <v>0</v>
      </c>
      <c r="G21" s="21">
        <v>0</v>
      </c>
      <c r="H21" s="21">
        <f t="shared" si="3"/>
        <v>0</v>
      </c>
      <c r="I21" s="21">
        <v>0</v>
      </c>
      <c r="J21" s="313"/>
    </row>
    <row r="22" spans="1:10" ht="14.25" customHeight="1" x14ac:dyDescent="0.2">
      <c r="A22" s="8">
        <v>1</v>
      </c>
      <c r="B22" s="8">
        <v>1</v>
      </c>
      <c r="C22" s="8">
        <v>9</v>
      </c>
      <c r="D22" s="451" t="s">
        <v>111</v>
      </c>
      <c r="E22" s="21">
        <v>0</v>
      </c>
      <c r="F22" s="21">
        <v>0</v>
      </c>
      <c r="G22" s="21">
        <v>0</v>
      </c>
      <c r="H22" s="21">
        <f t="shared" si="3"/>
        <v>0</v>
      </c>
      <c r="I22" s="21">
        <v>0</v>
      </c>
      <c r="J22" s="313"/>
    </row>
    <row r="23" spans="1:10" ht="14.25" customHeight="1" x14ac:dyDescent="0.2">
      <c r="A23" s="8" t="s">
        <v>3</v>
      </c>
      <c r="B23" s="8" t="s">
        <v>3</v>
      </c>
      <c r="C23" s="8" t="s">
        <v>3</v>
      </c>
      <c r="D23" s="451"/>
      <c r="E23" s="21">
        <v>0</v>
      </c>
      <c r="F23" s="21">
        <v>0</v>
      </c>
      <c r="G23" s="21">
        <v>0</v>
      </c>
      <c r="H23" s="21">
        <f t="shared" si="3"/>
        <v>0</v>
      </c>
      <c r="I23" s="21">
        <v>0</v>
      </c>
      <c r="J23" s="313"/>
    </row>
    <row r="24" spans="1:10" x14ac:dyDescent="0.2">
      <c r="D24" s="444" t="s">
        <v>116</v>
      </c>
      <c r="E24" s="23"/>
      <c r="F24" s="23"/>
      <c r="G24" s="23"/>
      <c r="H24" s="23"/>
      <c r="I24" s="23"/>
      <c r="J24" s="313"/>
    </row>
    <row r="25" spans="1:10" ht="14.25" customHeight="1" x14ac:dyDescent="0.2">
      <c r="D25" s="451"/>
      <c r="E25" s="17">
        <f>SUM(E26:E34)</f>
        <v>3401308.94</v>
      </c>
      <c r="F25" s="17">
        <f t="shared" ref="F25:G25" si="4">SUM(F26:F34)</f>
        <v>0</v>
      </c>
      <c r="G25" s="17">
        <f t="shared" si="4"/>
        <v>0</v>
      </c>
      <c r="H25" s="472">
        <f t="shared" ref="H25" si="5">-G25+F25+E25</f>
        <v>3401308.94</v>
      </c>
      <c r="I25" s="472">
        <f t="shared" ref="I25" si="6">H25-E25</f>
        <v>0</v>
      </c>
      <c r="J25" s="313"/>
    </row>
    <row r="26" spans="1:10" ht="14.25" customHeight="1" x14ac:dyDescent="0.2">
      <c r="A26" s="8">
        <v>1</v>
      </c>
      <c r="B26" s="8">
        <v>2</v>
      </c>
      <c r="C26" s="8">
        <v>1</v>
      </c>
      <c r="D26" s="451" t="s">
        <v>118</v>
      </c>
      <c r="E26" s="21">
        <v>0</v>
      </c>
      <c r="F26" s="21">
        <v>0</v>
      </c>
      <c r="G26" s="21">
        <v>0</v>
      </c>
      <c r="H26" s="21">
        <f t="shared" ref="H26:H34" si="7">E26+F26-I26</f>
        <v>0</v>
      </c>
      <c r="I26" s="21">
        <v>0</v>
      </c>
      <c r="J26" s="313"/>
    </row>
    <row r="27" spans="1:10" ht="14.25" customHeight="1" x14ac:dyDescent="0.2">
      <c r="A27" s="8">
        <v>1</v>
      </c>
      <c r="B27" s="8">
        <v>2</v>
      </c>
      <c r="C27" s="8">
        <v>2</v>
      </c>
      <c r="D27" s="451" t="s">
        <v>120</v>
      </c>
      <c r="E27" s="21">
        <v>0</v>
      </c>
      <c r="F27" s="21">
        <v>0</v>
      </c>
      <c r="G27" s="21">
        <v>0</v>
      </c>
      <c r="H27" s="21">
        <f t="shared" si="7"/>
        <v>0</v>
      </c>
      <c r="I27" s="21">
        <v>0</v>
      </c>
      <c r="J27" s="313"/>
    </row>
    <row r="28" spans="1:10" ht="14.25" customHeight="1" x14ac:dyDescent="0.2">
      <c r="A28" s="8">
        <v>1</v>
      </c>
      <c r="B28" s="8">
        <v>2</v>
      </c>
      <c r="C28" s="8">
        <v>3</v>
      </c>
      <c r="D28" s="451" t="s">
        <v>122</v>
      </c>
      <c r="E28" s="21">
        <f>BALANZA!G104</f>
        <v>867420.59</v>
      </c>
      <c r="F28" s="21">
        <f>BALANZA!H104</f>
        <v>0</v>
      </c>
      <c r="G28" s="21">
        <f>BALANZA!I104</f>
        <v>0</v>
      </c>
      <c r="H28" s="21">
        <f t="shared" ref="H28:H32" si="8">-G28+F28+E28</f>
        <v>867420.59</v>
      </c>
      <c r="I28" s="21">
        <f t="shared" ref="I28:I32" si="9">H28-E28</f>
        <v>0</v>
      </c>
      <c r="J28" s="313"/>
    </row>
    <row r="29" spans="1:10" ht="14.25" customHeight="1" x14ac:dyDescent="0.2">
      <c r="A29" s="8">
        <v>1</v>
      </c>
      <c r="B29" s="8">
        <v>2</v>
      </c>
      <c r="C29" s="8">
        <v>4</v>
      </c>
      <c r="D29" s="451" t="s">
        <v>169</v>
      </c>
      <c r="E29" s="21">
        <f>BALANZA!G114</f>
        <v>2488176.27</v>
      </c>
      <c r="F29" s="21">
        <f>BALANZA!H114</f>
        <v>0</v>
      </c>
      <c r="G29" s="21">
        <v>0</v>
      </c>
      <c r="H29" s="21">
        <f t="shared" si="8"/>
        <v>2488176.27</v>
      </c>
      <c r="I29" s="21">
        <f t="shared" si="9"/>
        <v>0</v>
      </c>
      <c r="J29" s="313"/>
    </row>
    <row r="30" spans="1:10" ht="14.25" customHeight="1" x14ac:dyDescent="0.2">
      <c r="A30" s="8">
        <v>1</v>
      </c>
      <c r="B30" s="8">
        <v>2</v>
      </c>
      <c r="C30" s="8">
        <v>5</v>
      </c>
      <c r="D30" s="451" t="s">
        <v>126</v>
      </c>
      <c r="E30" s="21">
        <f>BALANZA!G211</f>
        <v>30712.080000000002</v>
      </c>
      <c r="F30" s="21">
        <f>BALANZA!H211</f>
        <v>0</v>
      </c>
      <c r="G30" s="21">
        <f>BALANZA!I211</f>
        <v>0</v>
      </c>
      <c r="H30" s="21">
        <f t="shared" si="8"/>
        <v>30712.080000000002</v>
      </c>
      <c r="I30" s="21">
        <f t="shared" si="9"/>
        <v>0</v>
      </c>
      <c r="J30" s="313"/>
    </row>
    <row r="31" spans="1:10" ht="14.25" customHeight="1" x14ac:dyDescent="0.2">
      <c r="A31" s="8">
        <v>1</v>
      </c>
      <c r="B31" s="8">
        <v>2</v>
      </c>
      <c r="C31" s="8">
        <v>6</v>
      </c>
      <c r="D31" s="451" t="s">
        <v>128</v>
      </c>
      <c r="E31" s="21">
        <v>0</v>
      </c>
      <c r="F31" s="21">
        <v>0</v>
      </c>
      <c r="G31" s="21">
        <v>0</v>
      </c>
      <c r="H31" s="21">
        <f t="shared" si="7"/>
        <v>0</v>
      </c>
      <c r="I31" s="21">
        <v>0</v>
      </c>
      <c r="J31" s="313"/>
    </row>
    <row r="32" spans="1:10" ht="14.25" customHeight="1" x14ac:dyDescent="0.2">
      <c r="A32" s="8">
        <v>1</v>
      </c>
      <c r="B32" s="8">
        <v>2</v>
      </c>
      <c r="C32" s="8">
        <v>7</v>
      </c>
      <c r="D32" s="451" t="s">
        <v>130</v>
      </c>
      <c r="E32" s="21">
        <f>BALANZA!G228</f>
        <v>15000</v>
      </c>
      <c r="F32" s="21">
        <f>BALANZA!H228</f>
        <v>0</v>
      </c>
      <c r="G32" s="21">
        <f>BALANZA!I228</f>
        <v>0</v>
      </c>
      <c r="H32" s="21">
        <f t="shared" si="8"/>
        <v>15000</v>
      </c>
      <c r="I32" s="21">
        <f t="shared" si="9"/>
        <v>0</v>
      </c>
      <c r="J32" s="313"/>
    </row>
    <row r="33" spans="1:10" ht="14.25" customHeight="1" x14ac:dyDescent="0.2">
      <c r="A33" s="8">
        <v>1</v>
      </c>
      <c r="B33" s="8">
        <v>2</v>
      </c>
      <c r="C33" s="8">
        <v>8</v>
      </c>
      <c r="D33" s="451" t="s">
        <v>131</v>
      </c>
      <c r="E33" s="21">
        <v>0</v>
      </c>
      <c r="F33" s="21">
        <v>0</v>
      </c>
      <c r="G33" s="21">
        <v>0</v>
      </c>
      <c r="H33" s="21">
        <f t="shared" si="7"/>
        <v>0</v>
      </c>
      <c r="I33" s="21">
        <v>0</v>
      </c>
      <c r="J33" s="313"/>
    </row>
    <row r="34" spans="1:10" ht="14.25" customHeight="1" x14ac:dyDescent="0.2">
      <c r="A34" s="8">
        <v>1</v>
      </c>
      <c r="B34" s="8">
        <v>2</v>
      </c>
      <c r="C34" s="8">
        <v>9</v>
      </c>
      <c r="D34" s="451" t="s">
        <v>133</v>
      </c>
      <c r="E34" s="21">
        <v>0</v>
      </c>
      <c r="F34" s="21">
        <v>0</v>
      </c>
      <c r="G34" s="21">
        <v>0</v>
      </c>
      <c r="H34" s="21">
        <f t="shared" si="7"/>
        <v>0</v>
      </c>
      <c r="I34" s="21">
        <v>0</v>
      </c>
      <c r="J34" s="313"/>
    </row>
    <row r="35" spans="1:10" x14ac:dyDescent="0.2">
      <c r="D35" s="451"/>
      <c r="E35" s="37"/>
      <c r="F35" s="37"/>
      <c r="G35" s="37"/>
      <c r="H35" s="37"/>
      <c r="I35" s="37"/>
      <c r="J35" s="313"/>
    </row>
    <row r="36" spans="1:10" ht="14.25" customHeight="1" x14ac:dyDescent="0.2">
      <c r="D36" s="452" t="s">
        <v>137</v>
      </c>
      <c r="E36" s="327">
        <f>+E14+E25-1</f>
        <v>13156894.939999999</v>
      </c>
      <c r="F36" s="327">
        <f t="shared" ref="F36:G36" si="10">+F14+F25</f>
        <v>13938627</v>
      </c>
      <c r="G36" s="327">
        <f t="shared" si="10"/>
        <v>18146011</v>
      </c>
      <c r="H36" s="327">
        <f>E36+F36-G36+1</f>
        <v>8949511.9399999976</v>
      </c>
      <c r="I36" s="327">
        <f>H36-E36</f>
        <v>-4207383.0000000019</v>
      </c>
      <c r="J36" s="417"/>
    </row>
    <row r="37" spans="1:10" x14ac:dyDescent="0.2">
      <c r="D37" s="29"/>
      <c r="E37" s="43"/>
      <c r="F37" s="43"/>
      <c r="G37" s="50"/>
    </row>
    <row r="38" spans="1:10" x14ac:dyDescent="0.2">
      <c r="D38" s="445" t="s">
        <v>152</v>
      </c>
      <c r="E38" s="445"/>
      <c r="F38" s="445"/>
      <c r="G38" s="421"/>
      <c r="H38" s="422"/>
      <c r="I38" s="422"/>
      <c r="J38" s="402"/>
    </row>
    <row r="39" spans="1:10" x14ac:dyDescent="0.2">
      <c r="D39" s="29"/>
      <c r="E39" s="43"/>
      <c r="F39" s="43"/>
      <c r="G39" s="45"/>
    </row>
    <row r="40" spans="1:10" x14ac:dyDescent="0.2">
      <c r="D40" s="29"/>
      <c r="E40" s="43"/>
      <c r="F40" s="43"/>
      <c r="G40" s="603"/>
      <c r="H40" s="603"/>
    </row>
    <row r="41" spans="1:10" x14ac:dyDescent="0.2">
      <c r="D41" s="48" t="str">
        <f>BALANZA!Q1</f>
        <v>Dr. Alfredo Cuecuecha Mendoza</v>
      </c>
      <c r="E41" s="31"/>
      <c r="F41" s="43"/>
      <c r="G41" s="578" t="str">
        <f>BALANZA!Q3</f>
        <v>C.P. José Santiago Ortega Vega</v>
      </c>
      <c r="H41" s="578"/>
    </row>
    <row r="42" spans="1:10" ht="14.25" customHeight="1" x14ac:dyDescent="0.2">
      <c r="D42" s="49" t="str">
        <f>BALANZA!Q2</f>
        <v>Presidente de la Junta de Gobierno</v>
      </c>
      <c r="E42" s="31"/>
      <c r="F42" s="43"/>
      <c r="G42" s="580" t="str">
        <f>BALANZA!Q4</f>
        <v>Director Administrativo</v>
      </c>
      <c r="H42" s="580"/>
    </row>
    <row r="43" spans="1:10" x14ac:dyDescent="0.2">
      <c r="D43" s="2"/>
    </row>
    <row r="44" spans="1:10" x14ac:dyDescent="0.2">
      <c r="A44" s="10" t="s">
        <v>23</v>
      </c>
      <c r="D44" s="2"/>
      <c r="E44" s="9"/>
      <c r="F44" s="9"/>
    </row>
    <row r="45" spans="1:10" ht="14.25" customHeight="1" x14ac:dyDescent="0.2">
      <c r="A45" s="15" t="s">
        <v>12</v>
      </c>
      <c r="B45" s="602" t="s">
        <v>13</v>
      </c>
      <c r="C45" s="602"/>
      <c r="D45" s="602"/>
      <c r="E45" s="602"/>
      <c r="F45" s="602"/>
      <c r="G45" s="602"/>
      <c r="H45" s="602"/>
    </row>
    <row r="46" spans="1:10" ht="14.25" customHeight="1" x14ac:dyDescent="0.2">
      <c r="A46" s="15" t="s">
        <v>5</v>
      </c>
      <c r="B46" s="602" t="s">
        <v>14</v>
      </c>
      <c r="C46" s="602"/>
      <c r="D46" s="602"/>
      <c r="E46" s="602"/>
      <c r="F46" s="602"/>
      <c r="G46" s="602"/>
      <c r="H46" s="602"/>
    </row>
    <row r="47" spans="1:10" ht="14.25" customHeight="1" x14ac:dyDescent="0.2">
      <c r="A47" s="15" t="s">
        <v>15</v>
      </c>
      <c r="B47" s="602" t="s">
        <v>16</v>
      </c>
      <c r="C47" s="602"/>
      <c r="D47" s="602"/>
      <c r="E47" s="602"/>
      <c r="F47" s="602"/>
      <c r="G47" s="602"/>
      <c r="H47" s="602"/>
    </row>
    <row r="48" spans="1:10" ht="14.25" customHeight="1" x14ac:dyDescent="0.2">
      <c r="A48" s="15" t="s">
        <v>17</v>
      </c>
      <c r="B48" s="602" t="s">
        <v>19</v>
      </c>
      <c r="C48" s="602"/>
      <c r="D48" s="602"/>
      <c r="E48" s="602"/>
      <c r="F48" s="602"/>
      <c r="G48" s="602"/>
      <c r="H48" s="602"/>
    </row>
    <row r="49" spans="1:8" ht="14.25" customHeight="1" x14ac:dyDescent="0.2">
      <c r="A49" s="15" t="s">
        <v>18</v>
      </c>
      <c r="B49" s="602" t="s">
        <v>30</v>
      </c>
      <c r="C49" s="602"/>
      <c r="D49" s="602"/>
      <c r="E49" s="602"/>
      <c r="F49" s="602"/>
      <c r="G49" s="602"/>
      <c r="H49" s="602"/>
    </row>
    <row r="50" spans="1:8" ht="14.25" customHeight="1" x14ac:dyDescent="0.2">
      <c r="A50" s="15" t="s">
        <v>20</v>
      </c>
      <c r="B50" s="602" t="s">
        <v>31</v>
      </c>
      <c r="C50" s="602"/>
      <c r="D50" s="602"/>
      <c r="E50" s="602"/>
      <c r="F50" s="602"/>
      <c r="G50" s="602"/>
      <c r="H50" s="602"/>
    </row>
    <row r="51" spans="1:8" ht="14.25" customHeight="1" x14ac:dyDescent="0.2">
      <c r="A51" s="15" t="s">
        <v>22</v>
      </c>
      <c r="B51" s="602" t="s">
        <v>32</v>
      </c>
      <c r="C51" s="602"/>
      <c r="D51" s="602"/>
      <c r="E51" s="602"/>
      <c r="F51" s="602"/>
      <c r="G51" s="602"/>
      <c r="H51" s="602"/>
    </row>
    <row r="52" spans="1:8" ht="14.25" customHeight="1" x14ac:dyDescent="0.2">
      <c r="A52" s="15" t="s">
        <v>24</v>
      </c>
      <c r="B52" s="602" t="s">
        <v>178</v>
      </c>
      <c r="C52" s="602"/>
      <c r="D52" s="602"/>
      <c r="E52" s="602"/>
      <c r="F52" s="602"/>
      <c r="G52" s="602"/>
      <c r="H52" s="602"/>
    </row>
    <row r="53" spans="1:8" ht="14.25" customHeight="1" x14ac:dyDescent="0.2">
      <c r="A53" s="15" t="s">
        <v>25</v>
      </c>
      <c r="B53" s="602" t="s">
        <v>179</v>
      </c>
      <c r="C53" s="602"/>
      <c r="D53" s="602"/>
      <c r="E53" s="602"/>
      <c r="F53" s="602"/>
      <c r="G53" s="602"/>
      <c r="H53" s="602"/>
    </row>
    <row r="54" spans="1:8" s="6" customFormat="1" ht="14.25" customHeight="1" x14ac:dyDescent="0.2">
      <c r="A54" s="8"/>
      <c r="B54" s="602" t="s">
        <v>3</v>
      </c>
      <c r="C54" s="602"/>
      <c r="D54" s="602"/>
      <c r="E54" s="602"/>
      <c r="F54" s="602"/>
      <c r="G54" s="602"/>
      <c r="H54" s="602"/>
    </row>
    <row r="55" spans="1:8" s="6" customFormat="1" x14ac:dyDescent="0.2">
      <c r="A55" s="8"/>
      <c r="B55" s="8"/>
      <c r="C55" s="8"/>
      <c r="D55" s="2"/>
      <c r="F55" s="12"/>
      <c r="G55" s="12"/>
    </row>
    <row r="56" spans="1:8" s="6" customFormat="1" x14ac:dyDescent="0.2">
      <c r="A56" s="8"/>
      <c r="B56" s="8"/>
      <c r="C56" s="8"/>
      <c r="D56" s="2"/>
      <c r="F56" s="12"/>
      <c r="G56" s="12"/>
    </row>
    <row r="57" spans="1:8" s="6" customFormat="1" x14ac:dyDescent="0.2">
      <c r="A57" s="8"/>
      <c r="B57" s="8"/>
      <c r="C57" s="8"/>
      <c r="D57" s="2"/>
      <c r="F57" s="12"/>
      <c r="G57" s="12"/>
    </row>
    <row r="58" spans="1:8" s="6" customFormat="1" x14ac:dyDescent="0.2">
      <c r="A58" s="8"/>
      <c r="B58" s="8"/>
      <c r="C58" s="8"/>
      <c r="D58" s="2"/>
      <c r="F58" s="12"/>
      <c r="G58" s="12"/>
    </row>
    <row r="59" spans="1:8" s="6" customFormat="1" x14ac:dyDescent="0.2">
      <c r="A59" s="8"/>
      <c r="B59" s="8"/>
      <c r="C59" s="8"/>
      <c r="D59" s="2"/>
      <c r="F59" s="12"/>
      <c r="G59" s="12"/>
    </row>
    <row r="60" spans="1:8" s="6" customFormat="1" x14ac:dyDescent="0.2">
      <c r="A60" s="8"/>
      <c r="B60" s="8"/>
      <c r="C60" s="8"/>
      <c r="D60" s="2"/>
      <c r="F60" s="12"/>
      <c r="G60" s="12"/>
    </row>
    <row r="61" spans="1:8" s="6" customFormat="1" x14ac:dyDescent="0.2">
      <c r="A61" s="8"/>
      <c r="B61" s="8"/>
      <c r="C61" s="8"/>
      <c r="D61" s="2"/>
      <c r="F61" s="12"/>
      <c r="G61" s="12"/>
    </row>
    <row r="62" spans="1:8" s="6" customFormat="1" x14ac:dyDescent="0.2">
      <c r="A62" s="8"/>
      <c r="B62" s="8"/>
      <c r="C62" s="8"/>
      <c r="D62" s="2"/>
      <c r="F62" s="12"/>
      <c r="G62" s="12"/>
    </row>
    <row r="63" spans="1:8" s="6" customFormat="1" x14ac:dyDescent="0.2">
      <c r="A63" s="8"/>
      <c r="B63" s="8"/>
      <c r="C63" s="8"/>
      <c r="D63" s="2"/>
      <c r="F63" s="12"/>
      <c r="G63" s="12"/>
    </row>
    <row r="64" spans="1:8" s="6" customFormat="1" x14ac:dyDescent="0.2">
      <c r="A64" s="8"/>
      <c r="B64" s="8"/>
      <c r="C64" s="8"/>
      <c r="D64" s="2"/>
      <c r="F64" s="12"/>
      <c r="G64" s="12"/>
    </row>
    <row r="65" spans="1:7" s="6" customFormat="1" x14ac:dyDescent="0.2">
      <c r="A65" s="8"/>
      <c r="B65" s="8"/>
      <c r="C65" s="8"/>
      <c r="D65" s="2"/>
      <c r="F65" s="12"/>
      <c r="G65" s="12"/>
    </row>
    <row r="66" spans="1:7" s="6" customFormat="1" x14ac:dyDescent="0.2">
      <c r="A66" s="8"/>
      <c r="B66" s="8"/>
      <c r="C66" s="8"/>
      <c r="D66" s="2"/>
      <c r="F66" s="12"/>
      <c r="G66" s="12"/>
    </row>
    <row r="67" spans="1:7" s="6" customFormat="1" x14ac:dyDescent="0.2">
      <c r="A67" s="8"/>
      <c r="B67" s="8"/>
      <c r="C67" s="8"/>
      <c r="D67" s="2"/>
      <c r="F67" s="12"/>
      <c r="G67" s="12"/>
    </row>
    <row r="68" spans="1:7" s="6" customFormat="1" x14ac:dyDescent="0.2">
      <c r="A68" s="8"/>
      <c r="B68" s="8"/>
      <c r="C68" s="8"/>
      <c r="D68" s="2"/>
      <c r="F68" s="12"/>
      <c r="G68" s="12"/>
    </row>
    <row r="69" spans="1:7" s="6" customFormat="1" x14ac:dyDescent="0.2">
      <c r="A69" s="8"/>
      <c r="B69" s="8"/>
      <c r="C69" s="8"/>
      <c r="D69" s="2"/>
      <c r="F69" s="12"/>
      <c r="G69" s="12"/>
    </row>
    <row r="70" spans="1:7" s="6" customFormat="1" x14ac:dyDescent="0.2">
      <c r="A70" s="8"/>
      <c r="B70" s="8"/>
      <c r="C70" s="8"/>
      <c r="D70" s="2"/>
      <c r="F70" s="12"/>
      <c r="G70" s="12"/>
    </row>
    <row r="71" spans="1:7" s="6" customFormat="1" x14ac:dyDescent="0.2">
      <c r="A71" s="8"/>
      <c r="B71" s="8"/>
      <c r="C71" s="8"/>
      <c r="D71" s="2"/>
      <c r="F71" s="12"/>
      <c r="G71" s="12"/>
    </row>
    <row r="72" spans="1:7" s="6" customFormat="1" x14ac:dyDescent="0.2">
      <c r="A72" s="8"/>
      <c r="B72" s="8"/>
      <c r="C72" s="8"/>
      <c r="D72" s="2"/>
      <c r="F72" s="12"/>
      <c r="G72" s="12"/>
    </row>
    <row r="73" spans="1:7" s="6" customFormat="1" x14ac:dyDescent="0.2">
      <c r="A73" s="8"/>
      <c r="B73" s="8"/>
      <c r="C73" s="8"/>
      <c r="D73" s="2"/>
      <c r="F73" s="12"/>
      <c r="G73" s="12"/>
    </row>
    <row r="74" spans="1:7" s="6" customFormat="1" x14ac:dyDescent="0.2">
      <c r="A74" s="8"/>
      <c r="B74" s="8"/>
      <c r="C74" s="8"/>
      <c r="D74" s="2"/>
      <c r="F74" s="12"/>
      <c r="G74" s="12"/>
    </row>
    <row r="75" spans="1:7" s="6" customFormat="1" x14ac:dyDescent="0.2">
      <c r="A75" s="8"/>
      <c r="B75" s="8"/>
      <c r="C75" s="8"/>
      <c r="D75" s="2"/>
      <c r="F75" s="12"/>
      <c r="G75" s="12"/>
    </row>
    <row r="76" spans="1:7" s="6" customFormat="1" x14ac:dyDescent="0.2">
      <c r="A76" s="8"/>
      <c r="B76" s="8"/>
      <c r="C76" s="8"/>
      <c r="D76" s="2"/>
      <c r="F76" s="12"/>
      <c r="G76" s="12"/>
    </row>
    <row r="77" spans="1:7" s="6" customFormat="1" x14ac:dyDescent="0.2">
      <c r="A77" s="8"/>
      <c r="B77" s="8"/>
      <c r="C77" s="8"/>
      <c r="D77" s="2"/>
      <c r="F77" s="12"/>
      <c r="G77" s="12"/>
    </row>
    <row r="78" spans="1:7" s="6" customFormat="1" x14ac:dyDescent="0.2">
      <c r="A78" s="8"/>
      <c r="B78" s="8"/>
      <c r="C78" s="8"/>
      <c r="D78" s="2"/>
      <c r="F78" s="12"/>
      <c r="G78" s="12"/>
    </row>
    <row r="79" spans="1:7" s="6" customFormat="1" x14ac:dyDescent="0.2">
      <c r="A79" s="8"/>
      <c r="B79" s="8"/>
      <c r="C79" s="8"/>
      <c r="D79" s="2"/>
      <c r="F79" s="12"/>
      <c r="G79" s="12"/>
    </row>
    <row r="80" spans="1:7" s="6" customFormat="1" x14ac:dyDescent="0.2">
      <c r="A80" s="8"/>
      <c r="B80" s="8"/>
      <c r="C80" s="8"/>
      <c r="D80" s="2"/>
      <c r="F80" s="12"/>
      <c r="G80" s="12"/>
    </row>
    <row r="81" spans="1:7" s="6" customFormat="1" x14ac:dyDescent="0.2">
      <c r="A81" s="8"/>
      <c r="B81" s="8"/>
      <c r="C81" s="8"/>
      <c r="D81" s="2"/>
      <c r="F81" s="12"/>
      <c r="G81" s="12"/>
    </row>
    <row r="82" spans="1:7" s="6" customFormat="1" x14ac:dyDescent="0.2">
      <c r="A82" s="8"/>
      <c r="B82" s="8"/>
      <c r="C82" s="8"/>
      <c r="D82" s="2"/>
      <c r="F82" s="12"/>
      <c r="G82" s="12"/>
    </row>
    <row r="83" spans="1:7" s="6" customFormat="1" x14ac:dyDescent="0.2">
      <c r="A83" s="8"/>
      <c r="B83" s="8"/>
      <c r="C83" s="8"/>
      <c r="D83" s="2"/>
      <c r="F83" s="12"/>
      <c r="G83" s="12"/>
    </row>
    <row r="84" spans="1:7" s="6" customFormat="1" x14ac:dyDescent="0.2">
      <c r="A84" s="8"/>
      <c r="B84" s="8"/>
      <c r="C84" s="8"/>
      <c r="D84" s="2"/>
      <c r="F84" s="12"/>
      <c r="G84" s="12"/>
    </row>
    <row r="85" spans="1:7" s="6" customFormat="1" x14ac:dyDescent="0.2">
      <c r="A85" s="8"/>
      <c r="B85" s="8"/>
      <c r="C85" s="8"/>
      <c r="D85" s="2"/>
      <c r="F85" s="12"/>
      <c r="G85" s="12"/>
    </row>
    <row r="86" spans="1:7" s="6" customFormat="1" x14ac:dyDescent="0.2">
      <c r="A86" s="8"/>
      <c r="B86" s="8"/>
      <c r="C86" s="8"/>
      <c r="D86" s="2"/>
      <c r="F86" s="12"/>
      <c r="G86" s="12"/>
    </row>
    <row r="87" spans="1:7" s="6" customFormat="1" x14ac:dyDescent="0.2">
      <c r="A87" s="8"/>
      <c r="B87" s="8"/>
      <c r="C87" s="8"/>
      <c r="D87" s="2"/>
      <c r="F87" s="12"/>
      <c r="G87" s="12"/>
    </row>
    <row r="88" spans="1:7" s="6" customFormat="1" x14ac:dyDescent="0.2">
      <c r="A88" s="8"/>
      <c r="B88" s="8"/>
      <c r="C88" s="8"/>
      <c r="D88" s="2"/>
      <c r="F88" s="12"/>
      <c r="G88" s="12"/>
    </row>
    <row r="89" spans="1:7" s="6" customFormat="1" x14ac:dyDescent="0.2">
      <c r="A89" s="8"/>
      <c r="B89" s="8"/>
      <c r="C89" s="8"/>
      <c r="D89" s="2"/>
      <c r="F89" s="12"/>
      <c r="G89" s="12"/>
    </row>
    <row r="90" spans="1:7" s="6" customFormat="1" x14ac:dyDescent="0.2">
      <c r="A90" s="8"/>
      <c r="B90" s="8"/>
      <c r="C90" s="8"/>
      <c r="D90" s="2"/>
      <c r="F90" s="12"/>
      <c r="G90" s="12"/>
    </row>
    <row r="91" spans="1:7" s="6" customFormat="1" x14ac:dyDescent="0.2">
      <c r="A91" s="8"/>
      <c r="B91" s="8"/>
      <c r="C91" s="8"/>
      <c r="D91" s="2"/>
      <c r="F91" s="12"/>
      <c r="G91" s="12"/>
    </row>
    <row r="92" spans="1:7" s="6" customFormat="1" x14ac:dyDescent="0.2">
      <c r="A92" s="8"/>
      <c r="B92" s="8"/>
      <c r="C92" s="8"/>
      <c r="D92" s="2"/>
      <c r="F92" s="12"/>
      <c r="G92" s="12"/>
    </row>
    <row r="93" spans="1:7" s="6" customFormat="1" x14ac:dyDescent="0.2">
      <c r="A93" s="8"/>
      <c r="B93" s="8"/>
      <c r="C93" s="8"/>
      <c r="D93" s="2"/>
      <c r="F93" s="12"/>
      <c r="G93" s="12"/>
    </row>
    <row r="94" spans="1:7" s="6" customFormat="1" x14ac:dyDescent="0.2">
      <c r="A94" s="8"/>
      <c r="B94" s="8"/>
      <c r="C94" s="8"/>
      <c r="D94" s="2"/>
      <c r="F94" s="12"/>
      <c r="G94" s="12"/>
    </row>
    <row r="95" spans="1:7" s="6" customFormat="1" x14ac:dyDescent="0.2">
      <c r="A95" s="8"/>
      <c r="B95" s="8"/>
      <c r="C95" s="8"/>
      <c r="D95" s="2"/>
      <c r="F95" s="12"/>
      <c r="G95" s="12"/>
    </row>
    <row r="96" spans="1:7" s="6" customFormat="1" x14ac:dyDescent="0.2">
      <c r="A96" s="8"/>
      <c r="B96" s="8"/>
      <c r="C96" s="8"/>
      <c r="D96" s="2"/>
      <c r="F96" s="12"/>
      <c r="G96" s="12"/>
    </row>
    <row r="97" spans="1:7" s="6" customFormat="1" x14ac:dyDescent="0.2">
      <c r="A97" s="8"/>
      <c r="B97" s="8"/>
      <c r="C97" s="8"/>
      <c r="D97" s="2"/>
      <c r="F97" s="12"/>
      <c r="G97" s="12"/>
    </row>
    <row r="98" spans="1:7" s="6" customFormat="1" x14ac:dyDescent="0.2">
      <c r="A98" s="8"/>
      <c r="B98" s="8"/>
      <c r="C98" s="8"/>
      <c r="D98" s="2"/>
      <c r="F98" s="12"/>
      <c r="G98" s="12"/>
    </row>
    <row r="99" spans="1:7" s="6" customFormat="1" x14ac:dyDescent="0.2">
      <c r="A99" s="8"/>
      <c r="B99" s="8"/>
      <c r="C99" s="8"/>
      <c r="D99" s="2"/>
      <c r="F99" s="12"/>
      <c r="G99" s="12"/>
    </row>
    <row r="100" spans="1:7" s="6" customFormat="1" x14ac:dyDescent="0.2">
      <c r="A100" s="8"/>
      <c r="B100" s="8"/>
      <c r="C100" s="8"/>
      <c r="D100" s="2"/>
      <c r="F100" s="12"/>
      <c r="G100" s="12"/>
    </row>
    <row r="101" spans="1:7" s="6" customFormat="1" x14ac:dyDescent="0.2">
      <c r="A101" s="8"/>
      <c r="B101" s="8"/>
      <c r="C101" s="8"/>
      <c r="D101" s="2"/>
      <c r="F101" s="12"/>
      <c r="G101" s="12"/>
    </row>
    <row r="102" spans="1:7" s="6" customFormat="1" x14ac:dyDescent="0.2">
      <c r="A102" s="8"/>
      <c r="B102" s="8"/>
      <c r="C102" s="8"/>
      <c r="D102" s="2"/>
      <c r="F102" s="12"/>
      <c r="G102" s="12"/>
    </row>
    <row r="103" spans="1:7" s="6" customFormat="1" x14ac:dyDescent="0.2">
      <c r="A103" s="8"/>
      <c r="B103" s="8"/>
      <c r="C103" s="8"/>
      <c r="D103" s="2"/>
      <c r="F103" s="12"/>
      <c r="G103" s="12"/>
    </row>
    <row r="104" spans="1:7" s="6" customFormat="1" x14ac:dyDescent="0.2">
      <c r="A104" s="8"/>
      <c r="B104" s="8"/>
      <c r="C104" s="8"/>
      <c r="D104" s="2"/>
      <c r="F104" s="12"/>
      <c r="G104" s="12"/>
    </row>
    <row r="105" spans="1:7" s="6" customFormat="1" x14ac:dyDescent="0.2">
      <c r="A105" s="8"/>
      <c r="B105" s="8"/>
      <c r="C105" s="8"/>
      <c r="D105" s="2"/>
      <c r="F105" s="12"/>
      <c r="G105" s="12"/>
    </row>
    <row r="106" spans="1:7" s="6" customFormat="1" x14ac:dyDescent="0.2">
      <c r="A106" s="8"/>
      <c r="B106" s="8"/>
      <c r="C106" s="8"/>
      <c r="D106" s="2"/>
      <c r="F106" s="12"/>
      <c r="G106" s="12"/>
    </row>
    <row r="107" spans="1:7" s="6" customFormat="1" x14ac:dyDescent="0.2">
      <c r="A107" s="8"/>
      <c r="B107" s="8"/>
      <c r="C107" s="8"/>
      <c r="D107" s="2"/>
      <c r="F107" s="12"/>
      <c r="G107" s="12"/>
    </row>
    <row r="108" spans="1:7" s="6" customFormat="1" x14ac:dyDescent="0.2">
      <c r="A108" s="8"/>
      <c r="B108" s="8"/>
      <c r="C108" s="8"/>
      <c r="D108" s="2"/>
      <c r="F108" s="12"/>
      <c r="G108" s="12"/>
    </row>
    <row r="109" spans="1:7" s="6" customFormat="1" x14ac:dyDescent="0.2">
      <c r="A109" s="8"/>
      <c r="B109" s="8"/>
      <c r="C109" s="8"/>
      <c r="D109" s="2"/>
      <c r="F109" s="12"/>
      <c r="G109" s="12"/>
    </row>
    <row r="110" spans="1:7" s="6" customFormat="1" x14ac:dyDescent="0.2">
      <c r="A110" s="8"/>
      <c r="B110" s="8"/>
      <c r="C110" s="8"/>
      <c r="D110" s="2"/>
      <c r="F110" s="12"/>
      <c r="G110" s="12"/>
    </row>
    <row r="111" spans="1:7" s="6" customFormat="1" x14ac:dyDescent="0.2">
      <c r="A111" s="8"/>
      <c r="B111" s="8"/>
      <c r="C111" s="8"/>
      <c r="D111" s="2"/>
      <c r="F111" s="12"/>
      <c r="G111" s="12"/>
    </row>
    <row r="112" spans="1:7" s="6" customFormat="1" x14ac:dyDescent="0.2">
      <c r="A112" s="8"/>
      <c r="B112" s="8"/>
      <c r="C112" s="8"/>
      <c r="D112" s="2"/>
      <c r="F112" s="12"/>
      <c r="G112" s="12"/>
    </row>
    <row r="113" spans="1:7" s="6" customFormat="1" x14ac:dyDescent="0.2">
      <c r="A113" s="8"/>
      <c r="B113" s="8"/>
      <c r="C113" s="8"/>
      <c r="D113" s="2"/>
      <c r="F113" s="12"/>
      <c r="G113" s="12"/>
    </row>
    <row r="114" spans="1:7" s="6" customFormat="1" x14ac:dyDescent="0.2">
      <c r="A114" s="8"/>
      <c r="B114" s="8"/>
      <c r="C114" s="8"/>
      <c r="D114" s="2"/>
      <c r="F114" s="12"/>
      <c r="G114" s="12"/>
    </row>
    <row r="115" spans="1:7" s="6" customFormat="1" x14ac:dyDescent="0.2">
      <c r="A115" s="8"/>
      <c r="B115" s="8"/>
      <c r="C115" s="8"/>
      <c r="D115" s="2"/>
      <c r="F115" s="12"/>
      <c r="G115" s="12"/>
    </row>
    <row r="116" spans="1:7" s="6" customFormat="1" x14ac:dyDescent="0.2">
      <c r="A116" s="8"/>
      <c r="B116" s="8"/>
      <c r="C116" s="8"/>
      <c r="D116" s="2"/>
      <c r="F116" s="12"/>
      <c r="G116" s="12"/>
    </row>
    <row r="117" spans="1:7" s="6" customFormat="1" x14ac:dyDescent="0.2">
      <c r="A117" s="8"/>
      <c r="B117" s="8"/>
      <c r="C117" s="8"/>
      <c r="D117" s="2"/>
      <c r="F117" s="12"/>
      <c r="G117" s="12"/>
    </row>
    <row r="118" spans="1:7" x14ac:dyDescent="0.2">
      <c r="D118" s="2"/>
    </row>
    <row r="119" spans="1:7" x14ac:dyDescent="0.2">
      <c r="D119" s="2"/>
    </row>
    <row r="120" spans="1:7" x14ac:dyDescent="0.2">
      <c r="D120" s="2"/>
    </row>
    <row r="121" spans="1:7" x14ac:dyDescent="0.2">
      <c r="D121" s="2"/>
    </row>
    <row r="122" spans="1:7" x14ac:dyDescent="0.2">
      <c r="D122" s="2"/>
    </row>
    <row r="123" spans="1:7" x14ac:dyDescent="0.2">
      <c r="D123" s="2"/>
    </row>
    <row r="124" spans="1:7" x14ac:dyDescent="0.2">
      <c r="D124" s="2"/>
    </row>
    <row r="125" spans="1:7" x14ac:dyDescent="0.2">
      <c r="D125" s="2"/>
    </row>
    <row r="126" spans="1:7" x14ac:dyDescent="0.2">
      <c r="D126" s="2"/>
    </row>
    <row r="127" spans="1:7" x14ac:dyDescent="0.2">
      <c r="D127" s="2"/>
    </row>
    <row r="128" spans="1:7" x14ac:dyDescent="0.2">
      <c r="D128" s="2"/>
    </row>
    <row r="129" spans="4:4" x14ac:dyDescent="0.2">
      <c r="D129" s="2"/>
    </row>
    <row r="130" spans="4:4" x14ac:dyDescent="0.2">
      <c r="D130" s="2"/>
    </row>
    <row r="131" spans="4:4" x14ac:dyDescent="0.2">
      <c r="D131" s="2"/>
    </row>
    <row r="132" spans="4:4" x14ac:dyDescent="0.2">
      <c r="D132" s="2"/>
    </row>
    <row r="133" spans="4:4" x14ac:dyDescent="0.2">
      <c r="D133" s="2"/>
    </row>
    <row r="134" spans="4:4" x14ac:dyDescent="0.2">
      <c r="D134" s="2"/>
    </row>
    <row r="135" spans="4:4" x14ac:dyDescent="0.2">
      <c r="D135" s="2"/>
    </row>
    <row r="136" spans="4:4" x14ac:dyDescent="0.2">
      <c r="D136" s="2"/>
    </row>
    <row r="137" spans="4:4" x14ac:dyDescent="0.2">
      <c r="D137" s="2"/>
    </row>
    <row r="138" spans="4:4" x14ac:dyDescent="0.2">
      <c r="D138" s="2"/>
    </row>
    <row r="139" spans="4:4" x14ac:dyDescent="0.2">
      <c r="D139" s="2"/>
    </row>
    <row r="140" spans="4:4" x14ac:dyDescent="0.2">
      <c r="D140" s="2"/>
    </row>
    <row r="141" spans="4:4" x14ac:dyDescent="0.2">
      <c r="D141" s="2"/>
    </row>
    <row r="142" spans="4:4" x14ac:dyDescent="0.2">
      <c r="D142" s="2"/>
    </row>
    <row r="143" spans="4:4" x14ac:dyDescent="0.2">
      <c r="D143" s="2"/>
    </row>
    <row r="144" spans="4:4" x14ac:dyDescent="0.2">
      <c r="D144" s="2"/>
    </row>
    <row r="145" spans="4:4" x14ac:dyDescent="0.2">
      <c r="D145" s="2"/>
    </row>
    <row r="146" spans="4:4" x14ac:dyDescent="0.2">
      <c r="D146" s="2"/>
    </row>
    <row r="147" spans="4:4" x14ac:dyDescent="0.2">
      <c r="D147" s="2"/>
    </row>
    <row r="148" spans="4:4" x14ac:dyDescent="0.2">
      <c r="D148" s="2"/>
    </row>
    <row r="149" spans="4:4" x14ac:dyDescent="0.2">
      <c r="D149" s="2"/>
    </row>
    <row r="150" spans="4:4" x14ac:dyDescent="0.2">
      <c r="D150" s="2"/>
    </row>
    <row r="151" spans="4:4" x14ac:dyDescent="0.2">
      <c r="D151" s="2"/>
    </row>
    <row r="152" spans="4:4" x14ac:dyDescent="0.2">
      <c r="D152" s="2"/>
    </row>
    <row r="153" spans="4:4" x14ac:dyDescent="0.2">
      <c r="D153" s="2"/>
    </row>
    <row r="154" spans="4:4" x14ac:dyDescent="0.2">
      <c r="D154" s="2"/>
    </row>
    <row r="155" spans="4:4" x14ac:dyDescent="0.2">
      <c r="D155" s="2"/>
    </row>
    <row r="156" spans="4:4" x14ac:dyDescent="0.2">
      <c r="D156" s="2"/>
    </row>
    <row r="157" spans="4:4" x14ac:dyDescent="0.2">
      <c r="D157" s="2"/>
    </row>
    <row r="158" spans="4:4" x14ac:dyDescent="0.2">
      <c r="D158" s="2"/>
    </row>
    <row r="159" spans="4:4" x14ac:dyDescent="0.2">
      <c r="D159" s="2"/>
    </row>
    <row r="160" spans="4:4" x14ac:dyDescent="0.2">
      <c r="D160" s="2"/>
    </row>
    <row r="161" spans="4:4" x14ac:dyDescent="0.2">
      <c r="D161" s="2"/>
    </row>
    <row r="162" spans="4:4" x14ac:dyDescent="0.2">
      <c r="D162" s="2"/>
    </row>
    <row r="163" spans="4:4" x14ac:dyDescent="0.2">
      <c r="D163" s="2"/>
    </row>
    <row r="164" spans="4:4" x14ac:dyDescent="0.2">
      <c r="D164" s="2"/>
    </row>
    <row r="165" spans="4:4" x14ac:dyDescent="0.2">
      <c r="D165" s="2"/>
    </row>
    <row r="166" spans="4:4" x14ac:dyDescent="0.2">
      <c r="D166" s="2"/>
    </row>
    <row r="167" spans="4:4" x14ac:dyDescent="0.2">
      <c r="D167" s="2"/>
    </row>
    <row r="168" spans="4:4" x14ac:dyDescent="0.2">
      <c r="D168" s="2"/>
    </row>
    <row r="169" spans="4:4" x14ac:dyDescent="0.2">
      <c r="D169" s="2"/>
    </row>
    <row r="170" spans="4:4" x14ac:dyDescent="0.2">
      <c r="D170" s="2"/>
    </row>
    <row r="171" spans="4:4" x14ac:dyDescent="0.2">
      <c r="D171" s="2"/>
    </row>
    <row r="172" spans="4:4" x14ac:dyDescent="0.2">
      <c r="D172" s="2"/>
    </row>
    <row r="173" spans="4:4" x14ac:dyDescent="0.2">
      <c r="D173" s="2"/>
    </row>
    <row r="174" spans="4:4" x14ac:dyDescent="0.2">
      <c r="D174" s="2"/>
    </row>
    <row r="175" spans="4:4" x14ac:dyDescent="0.2">
      <c r="D175" s="2"/>
    </row>
    <row r="176" spans="4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</sheetData>
  <mergeCells count="19">
    <mergeCell ref="B54:H54"/>
    <mergeCell ref="B48:H48"/>
    <mergeCell ref="B50:H50"/>
    <mergeCell ref="D1:J1"/>
    <mergeCell ref="D2:J2"/>
    <mergeCell ref="B52:H52"/>
    <mergeCell ref="B49:H49"/>
    <mergeCell ref="B53:H53"/>
    <mergeCell ref="D3:J3"/>
    <mergeCell ref="D4:J4"/>
    <mergeCell ref="D5:J5"/>
    <mergeCell ref="D6:J6"/>
    <mergeCell ref="B51:H51"/>
    <mergeCell ref="G40:H40"/>
    <mergeCell ref="G41:H41"/>
    <mergeCell ref="G42:H42"/>
    <mergeCell ref="B45:H45"/>
    <mergeCell ref="B46:H46"/>
    <mergeCell ref="B47:H47"/>
  </mergeCells>
  <printOptions horizontalCentered="1" verticalCentered="1"/>
  <pageMargins left="0.15748031496062992" right="0.15748031496062992" top="0.19685039370078741" bottom="0.19685039370078741" header="0.51181102362204722" footer="0.51181102362204722"/>
  <pageSetup scale="76" orientation="landscape" r:id="rId1"/>
  <ignoredErrors>
    <ignoredError sqref="D41:H42 I14 I16:I18 I28:I32 H28:H30 H16:H17 H33:I35 H26:H27 H19:H23 H13:I13 H24:I25 I19:I23 I26:I27 H18 H15:I15 H14 E18 F28:G28 F32:G32 E33:G35 F30:G30 E31:G31 E19:G23 E17 E24:G27 E32 E30 F36:G36 E29 E28 E16 G16:G18 I1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202"/>
  <sheetViews>
    <sheetView showGridLines="0" topLeftCell="A4" zoomScaleNormal="100" workbookViewId="0">
      <selection activeCell="A3" sqref="A3:G3"/>
    </sheetView>
  </sheetViews>
  <sheetFormatPr baseColWidth="10" defaultRowHeight="14.25" x14ac:dyDescent="0.2"/>
  <cols>
    <col min="1" max="1" width="30.28515625" style="12" customWidth="1"/>
    <col min="2" max="2" width="33.140625" style="6" customWidth="1"/>
    <col min="3" max="3" width="22" style="12" customWidth="1"/>
    <col min="4" max="4" width="17.85546875" style="12" customWidth="1"/>
    <col min="5" max="5" width="21.85546875" style="12" customWidth="1"/>
    <col min="6" max="6" width="20.5703125" style="12" customWidth="1"/>
    <col min="7" max="7" width="2" style="12" customWidth="1"/>
    <col min="8" max="16384" width="11.42578125" style="12"/>
  </cols>
  <sheetData>
    <row r="1" spans="1:8" ht="19.5" customHeight="1" x14ac:dyDescent="0.3">
      <c r="A1" s="569" t="s">
        <v>38</v>
      </c>
      <c r="B1" s="570"/>
      <c r="C1" s="570"/>
      <c r="D1" s="570"/>
      <c r="E1" s="570"/>
      <c r="F1" s="570"/>
      <c r="G1" s="571"/>
    </row>
    <row r="2" spans="1:8" ht="15" customHeight="1" x14ac:dyDescent="0.25">
      <c r="A2" s="572" t="str">
        <f>BALANZA!Q9</f>
        <v>Cuenta Pública 2016</v>
      </c>
      <c r="B2" s="573"/>
      <c r="C2" s="573"/>
      <c r="D2" s="573"/>
      <c r="E2" s="573"/>
      <c r="F2" s="573"/>
      <c r="G2" s="574"/>
    </row>
    <row r="3" spans="1:8" ht="14.25" customHeight="1" x14ac:dyDescent="0.2">
      <c r="A3" s="575" t="s">
        <v>200</v>
      </c>
      <c r="B3" s="576"/>
      <c r="C3" s="576"/>
      <c r="D3" s="576"/>
      <c r="E3" s="576"/>
      <c r="F3" s="576"/>
      <c r="G3" s="577"/>
    </row>
    <row r="4" spans="1:8" ht="14.25" customHeight="1" x14ac:dyDescent="0.2">
      <c r="A4" s="575" t="str">
        <f>BALANZA!Q8</f>
        <v>Del 1 de enero al 31 de marzo de 2016</v>
      </c>
      <c r="B4" s="576"/>
      <c r="C4" s="576"/>
      <c r="D4" s="576"/>
      <c r="E4" s="576"/>
      <c r="F4" s="576"/>
      <c r="G4" s="577"/>
    </row>
    <row r="5" spans="1:8" ht="14.25" customHeight="1" x14ac:dyDescent="0.2">
      <c r="A5" s="575" t="s">
        <v>0</v>
      </c>
      <c r="B5" s="576"/>
      <c r="C5" s="576"/>
      <c r="D5" s="576"/>
      <c r="E5" s="576"/>
      <c r="F5" s="576"/>
      <c r="G5" s="577"/>
    </row>
    <row r="6" spans="1:8" ht="14.25" customHeight="1" x14ac:dyDescent="0.2">
      <c r="A6" s="575" t="str">
        <f>BALANZA!Q5</f>
        <v>EL COLEGIO DE TLAXCALA, A.C.</v>
      </c>
      <c r="B6" s="576"/>
      <c r="C6" s="576"/>
      <c r="D6" s="576"/>
      <c r="E6" s="576"/>
      <c r="F6" s="576"/>
      <c r="G6" s="577"/>
    </row>
    <row r="7" spans="1:8" hidden="1" x14ac:dyDescent="0.2">
      <c r="A7" s="314" t="s">
        <v>95</v>
      </c>
      <c r="B7" s="115" t="s">
        <v>3</v>
      </c>
      <c r="C7" s="115" t="s">
        <v>241</v>
      </c>
      <c r="D7" s="115" t="s">
        <v>20</v>
      </c>
      <c r="E7" s="115" t="s">
        <v>22</v>
      </c>
      <c r="F7" s="115" t="s">
        <v>24</v>
      </c>
      <c r="G7" s="313"/>
    </row>
    <row r="8" spans="1:8" ht="12.75" customHeight="1" x14ac:dyDescent="0.2">
      <c r="A8" s="89" t="s">
        <v>3</v>
      </c>
      <c r="B8" s="71" t="s">
        <v>3</v>
      </c>
      <c r="C8" s="71" t="s">
        <v>3</v>
      </c>
      <c r="D8" s="72" t="s">
        <v>196</v>
      </c>
      <c r="E8" s="72" t="s">
        <v>3</v>
      </c>
      <c r="F8" s="72" t="s">
        <v>3</v>
      </c>
      <c r="G8" s="73"/>
    </row>
    <row r="9" spans="1:8" ht="12.75" customHeight="1" x14ac:dyDescent="0.2">
      <c r="A9" s="611" t="s">
        <v>194</v>
      </c>
      <c r="B9" s="612"/>
      <c r="C9" s="171" t="s">
        <v>195</v>
      </c>
      <c r="D9" s="74" t="s">
        <v>197</v>
      </c>
      <c r="E9" s="74" t="s">
        <v>198</v>
      </c>
      <c r="F9" s="74" t="s">
        <v>199</v>
      </c>
      <c r="G9" s="75"/>
    </row>
    <row r="10" spans="1:8" x14ac:dyDescent="0.2">
      <c r="A10" s="314"/>
      <c r="B10" s="115"/>
      <c r="C10" s="87"/>
      <c r="D10" s="87"/>
      <c r="E10" s="87"/>
      <c r="F10" s="87"/>
      <c r="G10" s="313"/>
    </row>
    <row r="11" spans="1:8" ht="14.25" customHeight="1" x14ac:dyDescent="0.2">
      <c r="A11" s="403"/>
      <c r="B11" s="31"/>
      <c r="C11" s="31"/>
      <c r="D11" s="31"/>
      <c r="E11" s="31"/>
      <c r="F11" s="31"/>
      <c r="G11" s="313"/>
    </row>
    <row r="12" spans="1:8" x14ac:dyDescent="0.2">
      <c r="A12" s="605" t="s">
        <v>180</v>
      </c>
      <c r="B12" s="606"/>
      <c r="C12" s="606"/>
      <c r="D12" s="78"/>
      <c r="E12" s="78"/>
      <c r="F12" s="78"/>
      <c r="G12" s="404"/>
      <c r="H12" s="78"/>
    </row>
    <row r="13" spans="1:8" ht="14.25" customHeight="1" x14ac:dyDescent="0.2">
      <c r="A13" s="609" t="s">
        <v>181</v>
      </c>
      <c r="B13" s="610"/>
      <c r="C13" s="610"/>
      <c r="D13" s="31"/>
      <c r="E13" s="31"/>
      <c r="F13" s="31"/>
      <c r="G13" s="405"/>
      <c r="H13" s="31"/>
    </row>
    <row r="14" spans="1:8" x14ac:dyDescent="0.2">
      <c r="A14" s="605" t="s">
        <v>182</v>
      </c>
      <c r="B14" s="606"/>
      <c r="C14" s="606"/>
      <c r="D14" s="31"/>
      <c r="E14" s="54">
        <f>SUM(E15:E17)</f>
        <v>0</v>
      </c>
      <c r="F14" s="54">
        <f>SUM(F15:F17)</f>
        <v>0</v>
      </c>
      <c r="G14" s="406"/>
      <c r="H14" s="54"/>
    </row>
    <row r="15" spans="1:8" ht="14.25" customHeight="1" x14ac:dyDescent="0.2">
      <c r="A15" s="407"/>
      <c r="B15" s="604" t="s">
        <v>183</v>
      </c>
      <c r="C15" s="604"/>
      <c r="D15" s="31"/>
      <c r="E15" s="80">
        <v>0</v>
      </c>
      <c r="F15" s="80">
        <v>0</v>
      </c>
      <c r="G15" s="408"/>
      <c r="H15" s="80"/>
    </row>
    <row r="16" spans="1:8" ht="14.25" customHeight="1" x14ac:dyDescent="0.2">
      <c r="A16" s="407"/>
      <c r="B16" s="604" t="s">
        <v>184</v>
      </c>
      <c r="C16" s="604"/>
      <c r="D16" s="31"/>
      <c r="E16" s="80">
        <v>0</v>
      </c>
      <c r="F16" s="80">
        <v>0</v>
      </c>
      <c r="G16" s="408"/>
      <c r="H16" s="80"/>
    </row>
    <row r="17" spans="1:8" ht="14.25" customHeight="1" x14ac:dyDescent="0.2">
      <c r="A17" s="407"/>
      <c r="B17" s="604" t="s">
        <v>185</v>
      </c>
      <c r="C17" s="604"/>
      <c r="D17" s="31"/>
      <c r="E17" s="80">
        <v>0</v>
      </c>
      <c r="F17" s="80">
        <v>0</v>
      </c>
      <c r="G17" s="408"/>
      <c r="H17" s="80"/>
    </row>
    <row r="18" spans="1:8" ht="14.25" customHeight="1" x14ac:dyDescent="0.2">
      <c r="A18" s="407"/>
      <c r="B18" s="79"/>
      <c r="C18" s="29"/>
      <c r="D18" s="31"/>
      <c r="E18" s="81"/>
      <c r="F18" s="81"/>
      <c r="G18" s="409"/>
      <c r="H18" s="81"/>
    </row>
    <row r="19" spans="1:8" ht="14.25" customHeight="1" x14ac:dyDescent="0.2">
      <c r="A19" s="605" t="s">
        <v>186</v>
      </c>
      <c r="B19" s="606"/>
      <c r="C19" s="606"/>
      <c r="D19" s="31"/>
      <c r="E19" s="54">
        <f>SUM(E20:E23)</f>
        <v>0</v>
      </c>
      <c r="F19" s="54">
        <f>SUM(F20:F23)</f>
        <v>0</v>
      </c>
      <c r="G19" s="406"/>
      <c r="H19" s="54"/>
    </row>
    <row r="20" spans="1:8" ht="14.25" customHeight="1" x14ac:dyDescent="0.2">
      <c r="A20" s="407"/>
      <c r="B20" s="604" t="s">
        <v>187</v>
      </c>
      <c r="C20" s="604"/>
      <c r="D20" s="31"/>
      <c r="E20" s="80">
        <v>0</v>
      </c>
      <c r="F20" s="80">
        <v>0</v>
      </c>
      <c r="G20" s="408"/>
      <c r="H20" s="80"/>
    </row>
    <row r="21" spans="1:8" ht="14.25" customHeight="1" x14ac:dyDescent="0.2">
      <c r="A21" s="407"/>
      <c r="B21" s="604" t="s">
        <v>188</v>
      </c>
      <c r="C21" s="604"/>
      <c r="D21" s="31"/>
      <c r="E21" s="80">
        <v>0</v>
      </c>
      <c r="F21" s="80">
        <v>0</v>
      </c>
      <c r="G21" s="408"/>
      <c r="H21" s="80"/>
    </row>
    <row r="22" spans="1:8" ht="14.25" customHeight="1" x14ac:dyDescent="0.2">
      <c r="A22" s="407"/>
      <c r="B22" s="604" t="s">
        <v>184</v>
      </c>
      <c r="C22" s="604"/>
      <c r="D22" s="31"/>
      <c r="E22" s="80">
        <v>0</v>
      </c>
      <c r="F22" s="80">
        <v>0</v>
      </c>
      <c r="G22" s="408"/>
      <c r="H22" s="80"/>
    </row>
    <row r="23" spans="1:8" x14ac:dyDescent="0.2">
      <c r="A23" s="410"/>
      <c r="B23" s="604" t="s">
        <v>185</v>
      </c>
      <c r="C23" s="604"/>
      <c r="D23" s="31"/>
      <c r="E23" s="82">
        <v>0</v>
      </c>
      <c r="F23" s="82">
        <v>0</v>
      </c>
      <c r="G23" s="411"/>
      <c r="H23" s="82"/>
    </row>
    <row r="24" spans="1:8" ht="14.25" customHeight="1" x14ac:dyDescent="0.2">
      <c r="A24" s="407"/>
      <c r="B24" s="79"/>
      <c r="C24" s="29"/>
      <c r="D24" s="31"/>
      <c r="E24" s="83"/>
      <c r="F24" s="83"/>
      <c r="G24" s="412"/>
      <c r="H24" s="83"/>
    </row>
    <row r="25" spans="1:8" ht="14.25" customHeight="1" x14ac:dyDescent="0.2">
      <c r="A25" s="607" t="s">
        <v>189</v>
      </c>
      <c r="B25" s="608"/>
      <c r="C25" s="608"/>
      <c r="D25" s="35"/>
      <c r="E25" s="84">
        <f>E14+E19</f>
        <v>0</v>
      </c>
      <c r="F25" s="84">
        <f>F14+F19</f>
        <v>0</v>
      </c>
      <c r="G25" s="413"/>
      <c r="H25" s="84"/>
    </row>
    <row r="26" spans="1:8" ht="14.25" customHeight="1" x14ac:dyDescent="0.2">
      <c r="A26" s="407"/>
      <c r="B26" s="79"/>
      <c r="C26" s="170"/>
      <c r="D26" s="31"/>
      <c r="E26" s="83"/>
      <c r="F26" s="83"/>
      <c r="G26" s="412"/>
      <c r="H26" s="83"/>
    </row>
    <row r="27" spans="1:8" ht="14.25" customHeight="1" x14ac:dyDescent="0.2">
      <c r="A27" s="609" t="s">
        <v>190</v>
      </c>
      <c r="B27" s="610"/>
      <c r="C27" s="610"/>
      <c r="D27" s="31"/>
      <c r="E27" s="83"/>
      <c r="F27" s="83"/>
      <c r="G27" s="412"/>
      <c r="H27" s="83"/>
    </row>
    <row r="28" spans="1:8" ht="14.25" customHeight="1" x14ac:dyDescent="0.2">
      <c r="A28" s="605" t="s">
        <v>182</v>
      </c>
      <c r="B28" s="606"/>
      <c r="C28" s="606"/>
      <c r="D28" s="31"/>
      <c r="E28" s="54">
        <f>SUM(E29:E31)</f>
        <v>0</v>
      </c>
      <c r="F28" s="54">
        <f>SUM(F29:F31)</f>
        <v>0</v>
      </c>
      <c r="G28" s="406"/>
      <c r="H28" s="54"/>
    </row>
    <row r="29" spans="1:8" ht="14.25" customHeight="1" x14ac:dyDescent="0.2">
      <c r="A29" s="407"/>
      <c r="B29" s="604" t="s">
        <v>183</v>
      </c>
      <c r="C29" s="604"/>
      <c r="D29" s="31"/>
      <c r="E29" s="80">
        <v>0</v>
      </c>
      <c r="F29" s="80">
        <v>0</v>
      </c>
      <c r="G29" s="408"/>
      <c r="H29" s="80"/>
    </row>
    <row r="30" spans="1:8" ht="14.25" customHeight="1" x14ac:dyDescent="0.2">
      <c r="A30" s="410"/>
      <c r="B30" s="604" t="s">
        <v>184</v>
      </c>
      <c r="C30" s="604"/>
      <c r="D30" s="51"/>
      <c r="E30" s="80">
        <v>0</v>
      </c>
      <c r="F30" s="80">
        <v>0</v>
      </c>
      <c r="G30" s="408"/>
      <c r="H30" s="80"/>
    </row>
    <row r="31" spans="1:8" ht="14.25" customHeight="1" x14ac:dyDescent="0.2">
      <c r="A31" s="410"/>
      <c r="B31" s="604" t="s">
        <v>185</v>
      </c>
      <c r="C31" s="604"/>
      <c r="D31" s="51"/>
      <c r="E31" s="80">
        <v>0</v>
      </c>
      <c r="F31" s="80">
        <v>0</v>
      </c>
      <c r="G31" s="408"/>
      <c r="H31" s="80"/>
    </row>
    <row r="32" spans="1:8" ht="14.25" customHeight="1" x14ac:dyDescent="0.2">
      <c r="A32" s="407"/>
      <c r="B32" s="79"/>
      <c r="C32" s="29"/>
      <c r="D32" s="31"/>
      <c r="E32" s="83"/>
      <c r="F32" s="83"/>
      <c r="G32" s="412"/>
      <c r="H32" s="83"/>
    </row>
    <row r="33" spans="1:9" ht="14.25" customHeight="1" x14ac:dyDescent="0.2">
      <c r="A33" s="605" t="s">
        <v>186</v>
      </c>
      <c r="B33" s="606"/>
      <c r="C33" s="606"/>
      <c r="D33" s="31"/>
      <c r="E33" s="54">
        <f>SUM(E34:E37)</f>
        <v>0</v>
      </c>
      <c r="F33" s="54">
        <f>SUM(F34:F37)</f>
        <v>0</v>
      </c>
      <c r="G33" s="406"/>
      <c r="H33" s="54"/>
    </row>
    <row r="34" spans="1:9" x14ac:dyDescent="0.2">
      <c r="A34" s="407"/>
      <c r="B34" s="604" t="s">
        <v>187</v>
      </c>
      <c r="C34" s="604"/>
      <c r="D34" s="31"/>
      <c r="E34" s="80">
        <v>0</v>
      </c>
      <c r="F34" s="80">
        <v>0</v>
      </c>
      <c r="G34" s="408"/>
      <c r="H34" s="80"/>
    </row>
    <row r="35" spans="1:9" x14ac:dyDescent="0.2">
      <c r="A35" s="407"/>
      <c r="B35" s="604" t="s">
        <v>188</v>
      </c>
      <c r="C35" s="604"/>
      <c r="D35" s="31"/>
      <c r="E35" s="80">
        <v>0</v>
      </c>
      <c r="F35" s="80">
        <v>0</v>
      </c>
      <c r="G35" s="408"/>
      <c r="H35" s="80"/>
    </row>
    <row r="36" spans="1:9" x14ac:dyDescent="0.2">
      <c r="A36" s="407"/>
      <c r="B36" s="604" t="s">
        <v>184</v>
      </c>
      <c r="C36" s="604"/>
      <c r="D36" s="31"/>
      <c r="E36" s="80">
        <v>0</v>
      </c>
      <c r="F36" s="80">
        <v>0</v>
      </c>
      <c r="G36" s="408"/>
      <c r="H36" s="80"/>
    </row>
    <row r="37" spans="1:9" x14ac:dyDescent="0.2">
      <c r="A37" s="414"/>
      <c r="B37" s="604" t="s">
        <v>185</v>
      </c>
      <c r="C37" s="604"/>
      <c r="D37" s="31"/>
      <c r="E37" s="80">
        <v>0</v>
      </c>
      <c r="F37" s="80">
        <v>0</v>
      </c>
      <c r="G37" s="408"/>
      <c r="H37" s="80"/>
    </row>
    <row r="38" spans="1:9" x14ac:dyDescent="0.2">
      <c r="A38" s="414"/>
      <c r="B38" s="31"/>
      <c r="C38" s="29"/>
      <c r="D38" s="31"/>
      <c r="E38" s="83"/>
      <c r="F38" s="83"/>
      <c r="G38" s="412"/>
      <c r="H38" s="83"/>
    </row>
    <row r="39" spans="1:9" x14ac:dyDescent="0.2">
      <c r="A39" s="607" t="s">
        <v>191</v>
      </c>
      <c r="B39" s="608"/>
      <c r="C39" s="608"/>
      <c r="D39" s="35"/>
      <c r="E39" s="84">
        <f>E28+E33</f>
        <v>0</v>
      </c>
      <c r="F39" s="84">
        <f>F28+F33</f>
        <v>0</v>
      </c>
      <c r="G39" s="413"/>
      <c r="H39" s="84"/>
    </row>
    <row r="40" spans="1:9" x14ac:dyDescent="0.2">
      <c r="A40" s="407"/>
      <c r="B40" s="79"/>
      <c r="C40" s="29"/>
      <c r="D40" s="31"/>
      <c r="E40" s="83"/>
      <c r="F40" s="83"/>
      <c r="G40" s="412"/>
      <c r="H40" s="83"/>
    </row>
    <row r="41" spans="1:9" x14ac:dyDescent="0.2">
      <c r="A41" s="605" t="s">
        <v>192</v>
      </c>
      <c r="B41" s="606"/>
      <c r="C41" s="606"/>
      <c r="D41" s="31"/>
      <c r="E41" s="85">
        <f>BALANZA!G246</f>
        <v>10061261</v>
      </c>
      <c r="F41" s="85">
        <f>BALANZA!J246</f>
        <v>5381471</v>
      </c>
      <c r="G41" s="415"/>
      <c r="H41" s="85"/>
    </row>
    <row r="42" spans="1:9" x14ac:dyDescent="0.2">
      <c r="A42" s="407"/>
      <c r="B42" s="79"/>
      <c r="C42" s="29"/>
      <c r="D42" s="31"/>
      <c r="E42" s="83"/>
      <c r="F42" s="83"/>
      <c r="G42" s="412"/>
      <c r="H42" s="83"/>
    </row>
    <row r="43" spans="1:9" x14ac:dyDescent="0.2">
      <c r="A43" s="607" t="s">
        <v>193</v>
      </c>
      <c r="B43" s="608"/>
      <c r="C43" s="608"/>
      <c r="D43" s="35"/>
      <c r="E43" s="86">
        <f>E41+E39+E25</f>
        <v>10061261</v>
      </c>
      <c r="F43" s="86">
        <f>F41+F39+F25</f>
        <v>5381471</v>
      </c>
      <c r="G43" s="413"/>
      <c r="H43" s="84"/>
      <c r="I43" s="87"/>
    </row>
    <row r="44" spans="1:9" x14ac:dyDescent="0.2">
      <c r="A44" s="416"/>
      <c r="B44" s="325"/>
      <c r="C44" s="325"/>
      <c r="D44" s="325"/>
      <c r="E44" s="325"/>
      <c r="F44" s="325"/>
      <c r="G44" s="417"/>
      <c r="H44" s="87"/>
      <c r="I44" s="87"/>
    </row>
    <row r="45" spans="1:9" x14ac:dyDescent="0.2">
      <c r="A45" s="70"/>
      <c r="B45" s="37"/>
      <c r="C45" s="37"/>
      <c r="D45" s="37"/>
      <c r="E45" s="37"/>
      <c r="F45" s="37"/>
    </row>
    <row r="46" spans="1:9" x14ac:dyDescent="0.2">
      <c r="A46" s="29"/>
      <c r="B46" s="43"/>
      <c r="C46" s="43"/>
      <c r="D46" s="50"/>
    </row>
    <row r="47" spans="1:9" x14ac:dyDescent="0.2">
      <c r="A47" s="600" t="s">
        <v>152</v>
      </c>
      <c r="B47" s="600"/>
      <c r="C47" s="600"/>
      <c r="D47" s="401"/>
      <c r="E47" s="402"/>
      <c r="F47" s="402"/>
      <c r="G47" s="402"/>
    </row>
    <row r="48" spans="1:9" x14ac:dyDescent="0.2">
      <c r="A48" s="29"/>
      <c r="B48" s="43"/>
      <c r="C48" s="43"/>
      <c r="D48" s="45"/>
    </row>
    <row r="49" spans="1:6" x14ac:dyDescent="0.2">
      <c r="A49" s="29"/>
      <c r="B49" s="43"/>
      <c r="C49" s="43"/>
      <c r="D49" s="603"/>
      <c r="E49" s="603"/>
    </row>
    <row r="50" spans="1:6" x14ac:dyDescent="0.2">
      <c r="A50" s="48" t="str">
        <f>BALANZA!Q1</f>
        <v>Dr. Alfredo Cuecuecha Mendoza</v>
      </c>
      <c r="B50" s="31"/>
      <c r="C50" s="43"/>
      <c r="D50" s="578" t="str">
        <f>BALANZA!Q3</f>
        <v>C.P. José Santiago Ortega Vega</v>
      </c>
      <c r="E50" s="578"/>
    </row>
    <row r="51" spans="1:6" ht="14.25" customHeight="1" x14ac:dyDescent="0.2">
      <c r="A51" s="49" t="str">
        <f>BALANZA!Q2</f>
        <v>Presidente de la Junta de Gobierno</v>
      </c>
      <c r="B51" s="31"/>
      <c r="C51" s="43"/>
      <c r="D51" s="580" t="str">
        <f>BALANZA!Q4</f>
        <v>Director Administrativo</v>
      </c>
      <c r="E51" s="580"/>
    </row>
    <row r="52" spans="1:6" x14ac:dyDescent="0.2">
      <c r="A52" s="2"/>
    </row>
    <row r="53" spans="1:6" x14ac:dyDescent="0.2">
      <c r="A53" s="2"/>
      <c r="B53" s="9"/>
      <c r="C53" s="9"/>
    </row>
    <row r="54" spans="1:6" ht="14.25" customHeight="1" x14ac:dyDescent="0.2">
      <c r="A54" s="602"/>
      <c r="B54" s="602"/>
      <c r="C54" s="602"/>
      <c r="D54" s="602"/>
      <c r="E54" s="602"/>
    </row>
    <row r="55" spans="1:6" ht="14.25" customHeight="1" x14ac:dyDescent="0.2">
      <c r="A55" s="602"/>
      <c r="B55" s="602"/>
      <c r="C55" s="602"/>
      <c r="D55" s="602"/>
      <c r="E55" s="602"/>
    </row>
    <row r="56" spans="1:6" ht="14.25" customHeight="1" x14ac:dyDescent="0.2">
      <c r="A56" s="602"/>
      <c r="B56" s="602"/>
      <c r="C56" s="602"/>
      <c r="D56" s="602"/>
      <c r="E56" s="602"/>
    </row>
    <row r="57" spans="1:6" ht="14.25" customHeight="1" x14ac:dyDescent="0.2">
      <c r="A57" s="602"/>
      <c r="B57" s="602"/>
      <c r="C57" s="602"/>
      <c r="D57" s="602"/>
      <c r="E57" s="602"/>
    </row>
    <row r="58" spans="1:6" ht="14.25" customHeight="1" x14ac:dyDescent="0.2">
      <c r="A58" s="602"/>
      <c r="B58" s="602"/>
      <c r="C58" s="602"/>
      <c r="D58" s="602"/>
      <c r="E58" s="602"/>
    </row>
    <row r="59" spans="1:6" ht="14.25" customHeight="1" x14ac:dyDescent="0.2">
      <c r="A59" s="602"/>
      <c r="B59" s="602"/>
      <c r="C59" s="602"/>
      <c r="D59" s="602"/>
      <c r="E59" s="602"/>
      <c r="F59" s="102"/>
    </row>
    <row r="60" spans="1:6" ht="14.25" customHeight="1" x14ac:dyDescent="0.2">
      <c r="A60" s="602"/>
      <c r="B60" s="602"/>
      <c r="C60" s="602"/>
      <c r="D60" s="602"/>
      <c r="E60" s="602"/>
    </row>
    <row r="61" spans="1:6" ht="14.25" customHeight="1" x14ac:dyDescent="0.2">
      <c r="A61" s="602"/>
      <c r="B61" s="602"/>
      <c r="C61" s="602"/>
      <c r="D61" s="602"/>
      <c r="E61" s="602"/>
    </row>
    <row r="62" spans="1:6" s="6" customFormat="1" ht="14.25" customHeight="1" x14ac:dyDescent="0.2">
      <c r="A62" s="602"/>
      <c r="B62" s="602"/>
      <c r="C62" s="602"/>
      <c r="D62" s="602"/>
      <c r="E62" s="602"/>
    </row>
    <row r="63" spans="1:6" s="6" customFormat="1" x14ac:dyDescent="0.2">
      <c r="A63" s="2"/>
      <c r="C63" s="12"/>
      <c r="D63" s="12"/>
    </row>
    <row r="64" spans="1:6" s="6" customFormat="1" x14ac:dyDescent="0.2">
      <c r="A64" s="2"/>
      <c r="C64" s="12"/>
      <c r="D64" s="12"/>
    </row>
    <row r="65" spans="1:4" s="6" customFormat="1" x14ac:dyDescent="0.2">
      <c r="A65" s="2"/>
      <c r="C65" s="12"/>
      <c r="D65" s="12"/>
    </row>
    <row r="66" spans="1:4" s="6" customFormat="1" x14ac:dyDescent="0.2">
      <c r="A66" s="2"/>
      <c r="C66" s="12"/>
      <c r="D66" s="12"/>
    </row>
    <row r="67" spans="1:4" s="6" customFormat="1" x14ac:dyDescent="0.2">
      <c r="A67" s="2"/>
      <c r="C67" s="12"/>
      <c r="D67" s="12"/>
    </row>
    <row r="68" spans="1:4" s="6" customFormat="1" x14ac:dyDescent="0.2">
      <c r="A68" s="2"/>
      <c r="C68" s="12"/>
      <c r="D68" s="12"/>
    </row>
    <row r="69" spans="1:4" s="6" customFormat="1" x14ac:dyDescent="0.2">
      <c r="A69" s="2"/>
      <c r="C69" s="12"/>
      <c r="D69" s="12"/>
    </row>
    <row r="70" spans="1:4" s="6" customFormat="1" x14ac:dyDescent="0.2">
      <c r="A70" s="2"/>
      <c r="C70" s="12"/>
      <c r="D70" s="12"/>
    </row>
    <row r="71" spans="1:4" s="6" customFormat="1" x14ac:dyDescent="0.2">
      <c r="A71" s="2"/>
      <c r="C71" s="12"/>
      <c r="D71" s="12"/>
    </row>
    <row r="72" spans="1:4" s="6" customFormat="1" x14ac:dyDescent="0.2">
      <c r="A72" s="2"/>
      <c r="C72" s="12"/>
      <c r="D72" s="12"/>
    </row>
    <row r="73" spans="1:4" s="6" customFormat="1" x14ac:dyDescent="0.2">
      <c r="A73" s="2"/>
      <c r="C73" s="12"/>
      <c r="D73" s="12"/>
    </row>
    <row r="74" spans="1:4" s="6" customFormat="1" x14ac:dyDescent="0.2">
      <c r="A74" s="2"/>
      <c r="C74" s="12"/>
      <c r="D74" s="12"/>
    </row>
    <row r="75" spans="1:4" s="6" customFormat="1" x14ac:dyDescent="0.2">
      <c r="A75" s="2"/>
      <c r="C75" s="12"/>
      <c r="D75" s="12"/>
    </row>
    <row r="76" spans="1:4" s="6" customFormat="1" x14ac:dyDescent="0.2">
      <c r="A76" s="2"/>
      <c r="C76" s="12"/>
      <c r="D76" s="12"/>
    </row>
    <row r="77" spans="1:4" s="6" customFormat="1" x14ac:dyDescent="0.2">
      <c r="A77" s="2"/>
      <c r="C77" s="12"/>
      <c r="D77" s="12"/>
    </row>
    <row r="78" spans="1:4" s="6" customFormat="1" x14ac:dyDescent="0.2">
      <c r="A78" s="2"/>
      <c r="C78" s="12"/>
      <c r="D78" s="12"/>
    </row>
    <row r="79" spans="1:4" s="6" customFormat="1" x14ac:dyDescent="0.2">
      <c r="A79" s="2"/>
      <c r="C79" s="12"/>
      <c r="D79" s="12"/>
    </row>
    <row r="80" spans="1:4" s="6" customFormat="1" x14ac:dyDescent="0.2">
      <c r="A80" s="2"/>
      <c r="C80" s="12"/>
      <c r="D80" s="12"/>
    </row>
    <row r="81" spans="1:4" s="6" customFormat="1" x14ac:dyDescent="0.2">
      <c r="A81" s="2"/>
      <c r="C81" s="12"/>
      <c r="D81" s="12"/>
    </row>
    <row r="82" spans="1:4" s="6" customFormat="1" x14ac:dyDescent="0.2">
      <c r="A82" s="2"/>
      <c r="C82" s="12"/>
      <c r="D82" s="12"/>
    </row>
    <row r="83" spans="1:4" s="6" customFormat="1" x14ac:dyDescent="0.2">
      <c r="A83" s="2"/>
      <c r="C83" s="12"/>
      <c r="D83" s="12"/>
    </row>
    <row r="84" spans="1:4" s="6" customFormat="1" x14ac:dyDescent="0.2">
      <c r="A84" s="2"/>
      <c r="C84" s="12"/>
      <c r="D84" s="12"/>
    </row>
    <row r="85" spans="1:4" s="6" customFormat="1" x14ac:dyDescent="0.2">
      <c r="A85" s="2"/>
      <c r="C85" s="12"/>
      <c r="D85" s="12"/>
    </row>
    <row r="86" spans="1:4" s="6" customFormat="1" x14ac:dyDescent="0.2">
      <c r="A86" s="2"/>
      <c r="C86" s="12"/>
      <c r="D86" s="12"/>
    </row>
    <row r="87" spans="1:4" s="6" customFormat="1" x14ac:dyDescent="0.2">
      <c r="A87" s="2"/>
      <c r="C87" s="12"/>
      <c r="D87" s="12"/>
    </row>
    <row r="88" spans="1:4" s="6" customFormat="1" x14ac:dyDescent="0.2">
      <c r="A88" s="2"/>
      <c r="C88" s="12"/>
      <c r="D88" s="12"/>
    </row>
    <row r="89" spans="1:4" s="6" customFormat="1" x14ac:dyDescent="0.2">
      <c r="A89" s="2"/>
      <c r="C89" s="12"/>
      <c r="D89" s="12"/>
    </row>
    <row r="90" spans="1:4" s="6" customFormat="1" x14ac:dyDescent="0.2">
      <c r="A90" s="2"/>
      <c r="C90" s="12"/>
      <c r="D90" s="12"/>
    </row>
    <row r="91" spans="1:4" s="6" customFormat="1" x14ac:dyDescent="0.2">
      <c r="A91" s="2"/>
      <c r="C91" s="12"/>
      <c r="D91" s="12"/>
    </row>
    <row r="92" spans="1:4" s="6" customFormat="1" x14ac:dyDescent="0.2">
      <c r="A92" s="2"/>
      <c r="C92" s="12"/>
      <c r="D92" s="12"/>
    </row>
    <row r="93" spans="1:4" s="6" customFormat="1" x14ac:dyDescent="0.2">
      <c r="A93" s="2"/>
      <c r="C93" s="12"/>
      <c r="D93" s="12"/>
    </row>
    <row r="94" spans="1:4" s="6" customFormat="1" x14ac:dyDescent="0.2">
      <c r="A94" s="2"/>
      <c r="C94" s="12"/>
      <c r="D94" s="12"/>
    </row>
    <row r="95" spans="1:4" s="6" customFormat="1" x14ac:dyDescent="0.2">
      <c r="A95" s="2"/>
      <c r="C95" s="12"/>
      <c r="D95" s="12"/>
    </row>
    <row r="96" spans="1:4" s="6" customFormat="1" x14ac:dyDescent="0.2">
      <c r="A96" s="2"/>
      <c r="C96" s="12"/>
      <c r="D96" s="12"/>
    </row>
    <row r="97" spans="1:4" s="6" customFormat="1" x14ac:dyDescent="0.2">
      <c r="A97" s="2"/>
      <c r="C97" s="12"/>
      <c r="D97" s="12"/>
    </row>
    <row r="98" spans="1:4" s="6" customFormat="1" x14ac:dyDescent="0.2">
      <c r="A98" s="2"/>
      <c r="C98" s="12"/>
      <c r="D98" s="12"/>
    </row>
    <row r="99" spans="1:4" s="6" customFormat="1" x14ac:dyDescent="0.2">
      <c r="A99" s="2"/>
      <c r="C99" s="12"/>
      <c r="D99" s="12"/>
    </row>
    <row r="100" spans="1:4" s="6" customFormat="1" x14ac:dyDescent="0.2">
      <c r="A100" s="2"/>
      <c r="C100" s="12"/>
      <c r="D100" s="12"/>
    </row>
    <row r="101" spans="1:4" s="6" customFormat="1" x14ac:dyDescent="0.2">
      <c r="A101" s="2"/>
      <c r="C101" s="12"/>
      <c r="D101" s="12"/>
    </row>
    <row r="102" spans="1:4" s="6" customFormat="1" x14ac:dyDescent="0.2">
      <c r="A102" s="2"/>
      <c r="C102" s="12"/>
      <c r="D102" s="12"/>
    </row>
    <row r="103" spans="1:4" s="6" customFormat="1" x14ac:dyDescent="0.2">
      <c r="A103" s="2"/>
      <c r="C103" s="12"/>
      <c r="D103" s="12"/>
    </row>
    <row r="104" spans="1:4" s="6" customFormat="1" x14ac:dyDescent="0.2">
      <c r="A104" s="2"/>
      <c r="C104" s="12"/>
      <c r="D104" s="12"/>
    </row>
    <row r="105" spans="1:4" s="6" customFormat="1" x14ac:dyDescent="0.2">
      <c r="A105" s="2"/>
      <c r="C105" s="12"/>
      <c r="D105" s="12"/>
    </row>
    <row r="106" spans="1:4" s="6" customFormat="1" x14ac:dyDescent="0.2">
      <c r="A106" s="2"/>
      <c r="C106" s="12"/>
      <c r="D106" s="12"/>
    </row>
    <row r="107" spans="1:4" s="6" customFormat="1" x14ac:dyDescent="0.2">
      <c r="A107" s="2"/>
      <c r="C107" s="12"/>
      <c r="D107" s="12"/>
    </row>
    <row r="108" spans="1:4" s="6" customFormat="1" x14ac:dyDescent="0.2">
      <c r="A108" s="2"/>
      <c r="C108" s="12"/>
      <c r="D108" s="12"/>
    </row>
    <row r="109" spans="1:4" s="6" customFormat="1" x14ac:dyDescent="0.2">
      <c r="A109" s="2"/>
      <c r="C109" s="12"/>
      <c r="D109" s="12"/>
    </row>
    <row r="110" spans="1:4" s="6" customFormat="1" x14ac:dyDescent="0.2">
      <c r="A110" s="2"/>
      <c r="C110" s="12"/>
      <c r="D110" s="12"/>
    </row>
    <row r="111" spans="1:4" s="6" customFormat="1" x14ac:dyDescent="0.2">
      <c r="A111" s="2"/>
      <c r="C111" s="12"/>
      <c r="D111" s="12"/>
    </row>
    <row r="112" spans="1:4" s="6" customFormat="1" x14ac:dyDescent="0.2">
      <c r="A112" s="2"/>
      <c r="C112" s="12"/>
      <c r="D112" s="12"/>
    </row>
    <row r="113" spans="1:4" s="6" customFormat="1" x14ac:dyDescent="0.2">
      <c r="A113" s="2"/>
      <c r="C113" s="12"/>
      <c r="D113" s="12"/>
    </row>
    <row r="114" spans="1:4" s="6" customFormat="1" x14ac:dyDescent="0.2">
      <c r="A114" s="2"/>
      <c r="C114" s="12"/>
      <c r="D114" s="12"/>
    </row>
    <row r="115" spans="1:4" s="6" customFormat="1" x14ac:dyDescent="0.2">
      <c r="A115" s="2"/>
      <c r="C115" s="12"/>
      <c r="D115" s="12"/>
    </row>
    <row r="116" spans="1:4" s="6" customFormat="1" x14ac:dyDescent="0.2">
      <c r="A116" s="2"/>
      <c r="C116" s="12"/>
      <c r="D116" s="12"/>
    </row>
    <row r="117" spans="1:4" s="6" customFormat="1" x14ac:dyDescent="0.2">
      <c r="A117" s="2"/>
      <c r="C117" s="12"/>
      <c r="D117" s="12"/>
    </row>
    <row r="118" spans="1:4" s="6" customFormat="1" x14ac:dyDescent="0.2">
      <c r="A118" s="2"/>
      <c r="C118" s="12"/>
      <c r="D118" s="12"/>
    </row>
    <row r="119" spans="1:4" s="6" customFormat="1" x14ac:dyDescent="0.2">
      <c r="A119" s="2"/>
      <c r="C119" s="12"/>
      <c r="D119" s="12"/>
    </row>
    <row r="120" spans="1:4" s="6" customFormat="1" x14ac:dyDescent="0.2">
      <c r="A120" s="2"/>
      <c r="C120" s="12"/>
      <c r="D120" s="12"/>
    </row>
    <row r="121" spans="1:4" s="6" customFormat="1" x14ac:dyDescent="0.2">
      <c r="A121" s="2"/>
      <c r="C121" s="12"/>
      <c r="D121" s="12"/>
    </row>
    <row r="122" spans="1:4" s="6" customFormat="1" x14ac:dyDescent="0.2">
      <c r="A122" s="2"/>
      <c r="C122" s="12"/>
      <c r="D122" s="12"/>
    </row>
    <row r="123" spans="1:4" s="6" customFormat="1" x14ac:dyDescent="0.2">
      <c r="A123" s="2"/>
      <c r="C123" s="12"/>
      <c r="D123" s="12"/>
    </row>
    <row r="124" spans="1:4" s="6" customFormat="1" x14ac:dyDescent="0.2">
      <c r="A124" s="2"/>
      <c r="C124" s="12"/>
      <c r="D124" s="12"/>
    </row>
    <row r="125" spans="1:4" s="6" customFormat="1" x14ac:dyDescent="0.2">
      <c r="A125" s="2"/>
      <c r="C125" s="12"/>
      <c r="D125" s="12"/>
    </row>
    <row r="126" spans="1:4" x14ac:dyDescent="0.2">
      <c r="A126" s="2"/>
    </row>
    <row r="127" spans="1:4" x14ac:dyDescent="0.2">
      <c r="A127" s="2"/>
    </row>
    <row r="128" spans="1:4" x14ac:dyDescent="0.2">
      <c r="A128" s="2"/>
    </row>
    <row r="129" spans="1:7" x14ac:dyDescent="0.2">
      <c r="A129" s="2"/>
    </row>
    <row r="130" spans="1:7" x14ac:dyDescent="0.2">
      <c r="A130" s="2"/>
    </row>
    <row r="131" spans="1:7" x14ac:dyDescent="0.2">
      <c r="A131" s="2"/>
    </row>
    <row r="132" spans="1:7" x14ac:dyDescent="0.2">
      <c r="A132" s="2"/>
    </row>
    <row r="133" spans="1:7" x14ac:dyDescent="0.2">
      <c r="A133" s="2"/>
    </row>
    <row r="134" spans="1:7" s="6" customFormat="1" x14ac:dyDescent="0.2">
      <c r="A134" s="2"/>
      <c r="C134" s="12"/>
      <c r="D134" s="12"/>
      <c r="E134" s="12"/>
      <c r="F134" s="12"/>
      <c r="G134" s="12"/>
    </row>
    <row r="135" spans="1:7" s="6" customFormat="1" x14ac:dyDescent="0.2">
      <c r="A135" s="2"/>
      <c r="C135" s="12"/>
      <c r="D135" s="12"/>
      <c r="E135" s="12"/>
      <c r="F135" s="12"/>
      <c r="G135" s="12"/>
    </row>
    <row r="136" spans="1:7" s="6" customFormat="1" x14ac:dyDescent="0.2">
      <c r="A136" s="2"/>
      <c r="C136" s="12"/>
      <c r="D136" s="12"/>
      <c r="E136" s="12"/>
      <c r="F136" s="12"/>
      <c r="G136" s="12"/>
    </row>
    <row r="137" spans="1:7" s="6" customFormat="1" x14ac:dyDescent="0.2">
      <c r="A137" s="2"/>
      <c r="C137" s="12"/>
      <c r="D137" s="12"/>
      <c r="E137" s="12"/>
      <c r="F137" s="12"/>
      <c r="G137" s="12"/>
    </row>
    <row r="138" spans="1:7" s="6" customFormat="1" x14ac:dyDescent="0.2">
      <c r="A138" s="2"/>
      <c r="C138" s="12"/>
      <c r="D138" s="12"/>
      <c r="E138" s="12"/>
      <c r="F138" s="12"/>
      <c r="G138" s="12"/>
    </row>
    <row r="139" spans="1:7" s="6" customFormat="1" x14ac:dyDescent="0.2">
      <c r="A139" s="2"/>
      <c r="C139" s="12"/>
      <c r="D139" s="12"/>
      <c r="E139" s="12"/>
      <c r="F139" s="12"/>
      <c r="G139" s="12"/>
    </row>
    <row r="140" spans="1:7" s="6" customFormat="1" x14ac:dyDescent="0.2">
      <c r="A140" s="2"/>
      <c r="C140" s="12"/>
      <c r="D140" s="12"/>
      <c r="E140" s="12"/>
      <c r="F140" s="12"/>
      <c r="G140" s="12"/>
    </row>
    <row r="141" spans="1:7" s="6" customFormat="1" x14ac:dyDescent="0.2">
      <c r="A141" s="2"/>
      <c r="C141" s="12"/>
      <c r="D141" s="12"/>
      <c r="E141" s="12"/>
      <c r="F141" s="12"/>
      <c r="G141" s="12"/>
    </row>
    <row r="142" spans="1:7" s="6" customFormat="1" x14ac:dyDescent="0.2">
      <c r="A142" s="2"/>
      <c r="C142" s="12"/>
      <c r="D142" s="12"/>
      <c r="E142" s="12"/>
      <c r="F142" s="12"/>
      <c r="G142" s="12"/>
    </row>
    <row r="143" spans="1:7" s="6" customFormat="1" x14ac:dyDescent="0.2">
      <c r="A143" s="2"/>
      <c r="C143" s="12"/>
      <c r="D143" s="12"/>
      <c r="E143" s="12"/>
      <c r="F143" s="12"/>
      <c r="G143" s="12"/>
    </row>
    <row r="144" spans="1:7" s="6" customFormat="1" x14ac:dyDescent="0.2">
      <c r="A144" s="2"/>
      <c r="C144" s="12"/>
      <c r="D144" s="12"/>
      <c r="E144" s="12"/>
      <c r="F144" s="12"/>
      <c r="G144" s="12"/>
    </row>
    <row r="145" spans="1:7" s="6" customFormat="1" x14ac:dyDescent="0.2">
      <c r="A145" s="2"/>
      <c r="C145" s="12"/>
      <c r="D145" s="12"/>
      <c r="E145" s="12"/>
      <c r="F145" s="12"/>
      <c r="G145" s="12"/>
    </row>
    <row r="146" spans="1:7" s="6" customFormat="1" x14ac:dyDescent="0.2">
      <c r="A146" s="2"/>
      <c r="C146" s="12"/>
      <c r="D146" s="12"/>
      <c r="E146" s="12"/>
      <c r="F146" s="12"/>
      <c r="G146" s="12"/>
    </row>
    <row r="147" spans="1:7" s="6" customFormat="1" x14ac:dyDescent="0.2">
      <c r="A147" s="2"/>
      <c r="C147" s="12"/>
      <c r="D147" s="12"/>
      <c r="E147" s="12"/>
      <c r="F147" s="12"/>
      <c r="G147" s="12"/>
    </row>
    <row r="148" spans="1:7" s="6" customFormat="1" x14ac:dyDescent="0.2">
      <c r="A148" s="2"/>
      <c r="C148" s="12"/>
      <c r="D148" s="12"/>
      <c r="E148" s="12"/>
      <c r="F148" s="12"/>
      <c r="G148" s="12"/>
    </row>
    <row r="149" spans="1:7" s="6" customFormat="1" x14ac:dyDescent="0.2">
      <c r="A149" s="2"/>
      <c r="C149" s="12"/>
      <c r="D149" s="12"/>
      <c r="E149" s="12"/>
      <c r="F149" s="12"/>
      <c r="G149" s="12"/>
    </row>
    <row r="150" spans="1:7" s="6" customFormat="1" x14ac:dyDescent="0.2">
      <c r="A150" s="2"/>
      <c r="C150" s="12"/>
      <c r="D150" s="12"/>
      <c r="E150" s="12"/>
      <c r="F150" s="12"/>
      <c r="G150" s="12"/>
    </row>
    <row r="151" spans="1:7" s="6" customFormat="1" x14ac:dyDescent="0.2">
      <c r="A151" s="2"/>
      <c r="C151" s="12"/>
      <c r="D151" s="12"/>
      <c r="E151" s="12"/>
      <c r="F151" s="12"/>
      <c r="G151" s="12"/>
    </row>
    <row r="152" spans="1:7" s="6" customFormat="1" x14ac:dyDescent="0.2">
      <c r="A152" s="2"/>
      <c r="C152" s="12"/>
      <c r="D152" s="12"/>
      <c r="E152" s="12"/>
      <c r="F152" s="12"/>
      <c r="G152" s="12"/>
    </row>
    <row r="153" spans="1:7" s="6" customFormat="1" x14ac:dyDescent="0.2">
      <c r="A153" s="2"/>
      <c r="C153" s="12"/>
      <c r="D153" s="12"/>
      <c r="E153" s="12"/>
      <c r="F153" s="12"/>
      <c r="G153" s="12"/>
    </row>
    <row r="154" spans="1:7" s="6" customFormat="1" x14ac:dyDescent="0.2">
      <c r="A154" s="2"/>
      <c r="C154" s="12"/>
      <c r="D154" s="12"/>
      <c r="E154" s="12"/>
      <c r="F154" s="12"/>
      <c r="G154" s="12"/>
    </row>
    <row r="155" spans="1:7" s="6" customFormat="1" x14ac:dyDescent="0.2">
      <c r="A155" s="2"/>
      <c r="C155" s="12"/>
      <c r="D155" s="12"/>
      <c r="E155" s="12"/>
      <c r="F155" s="12"/>
      <c r="G155" s="12"/>
    </row>
    <row r="156" spans="1:7" s="6" customFormat="1" x14ac:dyDescent="0.2">
      <c r="A156" s="2"/>
      <c r="C156" s="12"/>
      <c r="D156" s="12"/>
      <c r="E156" s="12"/>
      <c r="F156" s="12"/>
      <c r="G156" s="12"/>
    </row>
    <row r="157" spans="1:7" s="6" customFormat="1" x14ac:dyDescent="0.2">
      <c r="A157" s="2"/>
      <c r="C157" s="12"/>
      <c r="D157" s="12"/>
      <c r="E157" s="12"/>
      <c r="F157" s="12"/>
      <c r="G157" s="12"/>
    </row>
    <row r="158" spans="1:7" s="6" customFormat="1" x14ac:dyDescent="0.2">
      <c r="A158" s="2"/>
      <c r="C158" s="12"/>
      <c r="D158" s="12"/>
      <c r="E158" s="12"/>
      <c r="F158" s="12"/>
      <c r="G158" s="12"/>
    </row>
    <row r="159" spans="1:7" s="6" customFormat="1" x14ac:dyDescent="0.2">
      <c r="A159" s="2"/>
      <c r="C159" s="12"/>
      <c r="D159" s="12"/>
      <c r="E159" s="12"/>
      <c r="F159" s="12"/>
      <c r="G159" s="12"/>
    </row>
    <row r="160" spans="1:7" s="6" customFormat="1" x14ac:dyDescent="0.2">
      <c r="A160" s="2"/>
      <c r="C160" s="12"/>
      <c r="D160" s="12"/>
      <c r="E160" s="12"/>
      <c r="F160" s="12"/>
      <c r="G160" s="12"/>
    </row>
    <row r="161" spans="1:7" s="6" customFormat="1" x14ac:dyDescent="0.2">
      <c r="A161" s="2"/>
      <c r="C161" s="12"/>
      <c r="D161" s="12"/>
      <c r="E161" s="12"/>
      <c r="F161" s="12"/>
      <c r="G161" s="12"/>
    </row>
    <row r="162" spans="1:7" s="6" customFormat="1" x14ac:dyDescent="0.2">
      <c r="A162" s="2"/>
      <c r="C162" s="12"/>
      <c r="D162" s="12"/>
      <c r="E162" s="12"/>
      <c r="F162" s="12"/>
      <c r="G162" s="12"/>
    </row>
    <row r="163" spans="1:7" s="6" customFormat="1" x14ac:dyDescent="0.2">
      <c r="A163" s="2"/>
      <c r="C163" s="12"/>
      <c r="D163" s="12"/>
      <c r="E163" s="12"/>
      <c r="F163" s="12"/>
      <c r="G163" s="12"/>
    </row>
    <row r="164" spans="1:7" s="6" customFormat="1" x14ac:dyDescent="0.2">
      <c r="A164" s="2"/>
      <c r="C164" s="12"/>
      <c r="D164" s="12"/>
      <c r="E164" s="12"/>
      <c r="F164" s="12"/>
      <c r="G164" s="12"/>
    </row>
    <row r="165" spans="1:7" s="6" customFormat="1" x14ac:dyDescent="0.2">
      <c r="A165" s="2"/>
      <c r="C165" s="12"/>
      <c r="D165" s="12"/>
      <c r="E165" s="12"/>
      <c r="F165" s="12"/>
      <c r="G165" s="12"/>
    </row>
    <row r="166" spans="1:7" s="6" customFormat="1" x14ac:dyDescent="0.2">
      <c r="A166" s="2"/>
      <c r="C166" s="12"/>
      <c r="D166" s="12"/>
      <c r="E166" s="12"/>
      <c r="F166" s="12"/>
      <c r="G166" s="12"/>
    </row>
    <row r="167" spans="1:7" s="6" customFormat="1" x14ac:dyDescent="0.2">
      <c r="A167" s="2"/>
      <c r="C167" s="12"/>
      <c r="D167" s="12"/>
      <c r="E167" s="12"/>
      <c r="F167" s="12"/>
      <c r="G167" s="12"/>
    </row>
    <row r="168" spans="1:7" s="6" customFormat="1" x14ac:dyDescent="0.2">
      <c r="A168" s="2"/>
      <c r="C168" s="12"/>
      <c r="D168" s="12"/>
      <c r="E168" s="12"/>
      <c r="F168" s="12"/>
      <c r="G168" s="12"/>
    </row>
    <row r="169" spans="1:7" s="6" customFormat="1" x14ac:dyDescent="0.2">
      <c r="A169" s="2"/>
      <c r="C169" s="12"/>
      <c r="D169" s="12"/>
      <c r="E169" s="12"/>
      <c r="F169" s="12"/>
      <c r="G169" s="12"/>
    </row>
    <row r="170" spans="1:7" s="6" customFormat="1" x14ac:dyDescent="0.2">
      <c r="A170" s="2"/>
      <c r="C170" s="12"/>
      <c r="D170" s="12"/>
      <c r="E170" s="12"/>
      <c r="F170" s="12"/>
      <c r="G170" s="12"/>
    </row>
    <row r="171" spans="1:7" s="6" customFormat="1" x14ac:dyDescent="0.2">
      <c r="A171" s="2"/>
      <c r="C171" s="12"/>
      <c r="D171" s="12"/>
      <c r="E171" s="12"/>
      <c r="F171" s="12"/>
      <c r="G171" s="12"/>
    </row>
    <row r="172" spans="1:7" s="6" customFormat="1" x14ac:dyDescent="0.2">
      <c r="A172" s="2"/>
      <c r="C172" s="12"/>
      <c r="D172" s="12"/>
      <c r="E172" s="12"/>
      <c r="F172" s="12"/>
      <c r="G172" s="12"/>
    </row>
    <row r="173" spans="1:7" s="6" customFormat="1" x14ac:dyDescent="0.2">
      <c r="A173" s="2"/>
      <c r="C173" s="12"/>
      <c r="D173" s="12"/>
      <c r="E173" s="12"/>
      <c r="F173" s="12"/>
      <c r="G173" s="12"/>
    </row>
    <row r="174" spans="1:7" s="6" customFormat="1" x14ac:dyDescent="0.2">
      <c r="A174" s="2"/>
      <c r="C174" s="12"/>
      <c r="D174" s="12"/>
      <c r="E174" s="12"/>
      <c r="F174" s="12"/>
      <c r="G174" s="12"/>
    </row>
    <row r="175" spans="1:7" s="6" customFormat="1" x14ac:dyDescent="0.2">
      <c r="A175" s="2"/>
      <c r="C175" s="12"/>
      <c r="D175" s="12"/>
      <c r="E175" s="12"/>
      <c r="F175" s="12"/>
      <c r="G175" s="12"/>
    </row>
    <row r="176" spans="1:7" s="6" customFormat="1" x14ac:dyDescent="0.2">
      <c r="A176" s="2"/>
      <c r="C176" s="12"/>
      <c r="D176" s="12"/>
      <c r="E176" s="12"/>
      <c r="F176" s="12"/>
      <c r="G176" s="12"/>
    </row>
    <row r="177" spans="1:7" s="6" customFormat="1" x14ac:dyDescent="0.2">
      <c r="A177" s="2"/>
      <c r="C177" s="12"/>
      <c r="D177" s="12"/>
      <c r="E177" s="12"/>
      <c r="F177" s="12"/>
      <c r="G177" s="12"/>
    </row>
    <row r="178" spans="1:7" s="6" customFormat="1" x14ac:dyDescent="0.2">
      <c r="A178" s="2"/>
      <c r="C178" s="12"/>
      <c r="D178" s="12"/>
      <c r="E178" s="12"/>
      <c r="F178" s="12"/>
      <c r="G178" s="12"/>
    </row>
    <row r="179" spans="1:7" s="6" customFormat="1" x14ac:dyDescent="0.2">
      <c r="A179" s="2"/>
      <c r="C179" s="12"/>
      <c r="D179" s="12"/>
      <c r="E179" s="12"/>
      <c r="F179" s="12"/>
      <c r="G179" s="12"/>
    </row>
    <row r="180" spans="1:7" s="6" customFormat="1" x14ac:dyDescent="0.2">
      <c r="A180" s="2"/>
      <c r="C180" s="12"/>
      <c r="D180" s="12"/>
      <c r="E180" s="12"/>
      <c r="F180" s="12"/>
      <c r="G180" s="12"/>
    </row>
    <row r="181" spans="1:7" s="6" customFormat="1" x14ac:dyDescent="0.2">
      <c r="A181" s="2"/>
      <c r="C181" s="12"/>
      <c r="D181" s="12"/>
      <c r="E181" s="12"/>
      <c r="F181" s="12"/>
      <c r="G181" s="12"/>
    </row>
    <row r="182" spans="1:7" s="6" customFormat="1" x14ac:dyDescent="0.2">
      <c r="A182" s="2"/>
      <c r="C182" s="12"/>
      <c r="D182" s="12"/>
      <c r="E182" s="12"/>
      <c r="F182" s="12"/>
      <c r="G182" s="12"/>
    </row>
    <row r="183" spans="1:7" s="6" customFormat="1" x14ac:dyDescent="0.2">
      <c r="A183" s="2"/>
      <c r="C183" s="12"/>
      <c r="D183" s="12"/>
      <c r="E183" s="12"/>
      <c r="F183" s="12"/>
      <c r="G183" s="12"/>
    </row>
    <row r="184" spans="1:7" s="6" customFormat="1" x14ac:dyDescent="0.2">
      <c r="A184" s="2"/>
      <c r="C184" s="12"/>
      <c r="D184" s="12"/>
      <c r="E184" s="12"/>
      <c r="F184" s="12"/>
      <c r="G184" s="12"/>
    </row>
    <row r="185" spans="1:7" s="6" customFormat="1" x14ac:dyDescent="0.2">
      <c r="A185" s="2"/>
      <c r="C185" s="12"/>
      <c r="D185" s="12"/>
      <c r="E185" s="12"/>
      <c r="F185" s="12"/>
      <c r="G185" s="12"/>
    </row>
    <row r="186" spans="1:7" s="6" customFormat="1" x14ac:dyDescent="0.2">
      <c r="A186" s="2"/>
      <c r="C186" s="12"/>
      <c r="D186" s="12"/>
      <c r="E186" s="12"/>
      <c r="F186" s="12"/>
      <c r="G186" s="12"/>
    </row>
    <row r="187" spans="1:7" s="6" customFormat="1" x14ac:dyDescent="0.2">
      <c r="A187" s="2"/>
      <c r="C187" s="12"/>
      <c r="D187" s="12"/>
      <c r="E187" s="12"/>
      <c r="F187" s="12"/>
      <c r="G187" s="12"/>
    </row>
    <row r="188" spans="1:7" s="6" customFormat="1" x14ac:dyDescent="0.2">
      <c r="A188" s="2"/>
      <c r="C188" s="12"/>
      <c r="D188" s="12"/>
      <c r="E188" s="12"/>
      <c r="F188" s="12"/>
      <c r="G188" s="12"/>
    </row>
    <row r="189" spans="1:7" s="6" customFormat="1" x14ac:dyDescent="0.2">
      <c r="A189" s="2"/>
      <c r="C189" s="12"/>
      <c r="D189" s="12"/>
      <c r="E189" s="12"/>
      <c r="F189" s="12"/>
      <c r="G189" s="12"/>
    </row>
    <row r="190" spans="1:7" s="6" customFormat="1" x14ac:dyDescent="0.2">
      <c r="A190" s="2"/>
      <c r="C190" s="12"/>
      <c r="D190" s="12"/>
      <c r="E190" s="12"/>
      <c r="F190" s="12"/>
      <c r="G190" s="12"/>
    </row>
    <row r="191" spans="1:7" s="6" customFormat="1" x14ac:dyDescent="0.2">
      <c r="A191" s="2"/>
      <c r="C191" s="12"/>
      <c r="D191" s="12"/>
      <c r="E191" s="12"/>
      <c r="F191" s="12"/>
      <c r="G191" s="12"/>
    </row>
    <row r="192" spans="1:7" s="6" customFormat="1" x14ac:dyDescent="0.2">
      <c r="A192" s="2"/>
      <c r="C192" s="12"/>
      <c r="D192" s="12"/>
      <c r="E192" s="12"/>
      <c r="F192" s="12"/>
      <c r="G192" s="12"/>
    </row>
    <row r="193" spans="1:7" s="6" customFormat="1" x14ac:dyDescent="0.2">
      <c r="A193" s="2"/>
      <c r="C193" s="12"/>
      <c r="D193" s="12"/>
      <c r="E193" s="12"/>
      <c r="F193" s="12"/>
      <c r="G193" s="12"/>
    </row>
    <row r="194" spans="1:7" s="6" customFormat="1" x14ac:dyDescent="0.2">
      <c r="A194" s="2"/>
      <c r="C194" s="12"/>
      <c r="D194" s="12"/>
      <c r="E194" s="12"/>
      <c r="F194" s="12"/>
      <c r="G194" s="12"/>
    </row>
    <row r="195" spans="1:7" s="6" customFormat="1" x14ac:dyDescent="0.2">
      <c r="A195" s="2"/>
      <c r="C195" s="12"/>
      <c r="D195" s="12"/>
      <c r="E195" s="12"/>
      <c r="F195" s="12"/>
      <c r="G195" s="12"/>
    </row>
    <row r="196" spans="1:7" s="6" customFormat="1" x14ac:dyDescent="0.2">
      <c r="A196" s="2"/>
      <c r="C196" s="12"/>
      <c r="D196" s="12"/>
      <c r="E196" s="12"/>
      <c r="F196" s="12"/>
      <c r="G196" s="12"/>
    </row>
    <row r="197" spans="1:7" s="6" customFormat="1" x14ac:dyDescent="0.2">
      <c r="A197" s="2"/>
      <c r="C197" s="12"/>
      <c r="D197" s="12"/>
      <c r="E197" s="12"/>
      <c r="F197" s="12"/>
      <c r="G197" s="12"/>
    </row>
    <row r="198" spans="1:7" s="6" customFormat="1" x14ac:dyDescent="0.2">
      <c r="A198" s="2"/>
      <c r="C198" s="12"/>
      <c r="D198" s="12"/>
      <c r="E198" s="12"/>
      <c r="F198" s="12"/>
      <c r="G198" s="12"/>
    </row>
    <row r="199" spans="1:7" s="6" customFormat="1" x14ac:dyDescent="0.2">
      <c r="A199" s="2"/>
      <c r="C199" s="12"/>
      <c r="D199" s="12"/>
      <c r="E199" s="12"/>
      <c r="F199" s="12"/>
      <c r="G199" s="12"/>
    </row>
    <row r="200" spans="1:7" s="6" customFormat="1" x14ac:dyDescent="0.2">
      <c r="A200" s="2"/>
      <c r="C200" s="12"/>
      <c r="D200" s="12"/>
      <c r="E200" s="12"/>
      <c r="F200" s="12"/>
      <c r="G200" s="12"/>
    </row>
    <row r="201" spans="1:7" s="6" customFormat="1" x14ac:dyDescent="0.2">
      <c r="A201" s="2"/>
      <c r="C201" s="12"/>
      <c r="D201" s="12"/>
      <c r="E201" s="12"/>
      <c r="F201" s="12"/>
      <c r="G201" s="12"/>
    </row>
    <row r="202" spans="1:7" s="6" customFormat="1" x14ac:dyDescent="0.2">
      <c r="A202" s="2"/>
      <c r="C202" s="12"/>
      <c r="D202" s="12"/>
      <c r="E202" s="12"/>
      <c r="F202" s="12"/>
      <c r="G202" s="12"/>
    </row>
  </sheetData>
  <mergeCells count="45">
    <mergeCell ref="A62:E62"/>
    <mergeCell ref="A12:C12"/>
    <mergeCell ref="A13:C13"/>
    <mergeCell ref="A14:C14"/>
    <mergeCell ref="B15:C15"/>
    <mergeCell ref="B16:C16"/>
    <mergeCell ref="B17:C17"/>
    <mergeCell ref="A19:C19"/>
    <mergeCell ref="B20:C20"/>
    <mergeCell ref="A56:E56"/>
    <mergeCell ref="A57:E57"/>
    <mergeCell ref="A58:E58"/>
    <mergeCell ref="A59:E59"/>
    <mergeCell ref="A60:E60"/>
    <mergeCell ref="A61:E61"/>
    <mergeCell ref="A55:E55"/>
    <mergeCell ref="A1:G1"/>
    <mergeCell ref="A2:G2"/>
    <mergeCell ref="A4:G4"/>
    <mergeCell ref="A3:G3"/>
    <mergeCell ref="A5:G5"/>
    <mergeCell ref="A6:G6"/>
    <mergeCell ref="A47:C47"/>
    <mergeCell ref="D49:E49"/>
    <mergeCell ref="D50:E50"/>
    <mergeCell ref="D51:E51"/>
    <mergeCell ref="B23:C23"/>
    <mergeCell ref="A25:C25"/>
    <mergeCell ref="A27:C27"/>
    <mergeCell ref="A28:C28"/>
    <mergeCell ref="A9:B9"/>
    <mergeCell ref="B37:C37"/>
    <mergeCell ref="A39:C39"/>
    <mergeCell ref="A41:C41"/>
    <mergeCell ref="A43:C43"/>
    <mergeCell ref="B29:C29"/>
    <mergeCell ref="B30:C30"/>
    <mergeCell ref="A54:E54"/>
    <mergeCell ref="B34:C34"/>
    <mergeCell ref="B35:C35"/>
    <mergeCell ref="B21:C21"/>
    <mergeCell ref="B22:C22"/>
    <mergeCell ref="B31:C31"/>
    <mergeCell ref="A33:C33"/>
    <mergeCell ref="B36:C36"/>
  </mergeCells>
  <printOptions horizontalCentered="1" verticalCentered="1"/>
  <pageMargins left="0.15748031496062992" right="0.15748031496062992" top="0.19685039370078741" bottom="0.19685039370078741" header="0.51181102362204722" footer="0.51181102362204722"/>
  <pageSetup scale="69" orientation="landscape" r:id="rId1"/>
  <ignoredErrors>
    <ignoredError sqref="A50:E51 E41:F4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Y197"/>
  <sheetViews>
    <sheetView showGridLines="0" topLeftCell="D13" zoomScaleNormal="100" workbookViewId="0">
      <selection activeCell="I33" sqref="I33"/>
    </sheetView>
  </sheetViews>
  <sheetFormatPr baseColWidth="10" defaultRowHeight="14.25" x14ac:dyDescent="0.2"/>
  <cols>
    <col min="1" max="1" width="3.140625" style="8" hidden="1" customWidth="1"/>
    <col min="2" max="2" width="3.42578125" style="8" hidden="1" customWidth="1"/>
    <col min="3" max="3" width="4.5703125" style="8" hidden="1" customWidth="1"/>
    <col min="4" max="4" width="4.5703125" style="8" customWidth="1"/>
    <col min="5" max="5" width="53.7109375" style="12" customWidth="1"/>
    <col min="6" max="6" width="16.85546875" style="6" customWidth="1"/>
    <col min="7" max="7" width="20.140625" style="12" customWidth="1"/>
    <col min="8" max="8" width="19" style="12" customWidth="1"/>
    <col min="9" max="9" width="19.7109375" style="12" customWidth="1"/>
    <col min="10" max="10" width="21.7109375" style="12" customWidth="1"/>
    <col min="11" max="11" width="2" style="12" customWidth="1"/>
    <col min="12" max="12" width="11.42578125" style="12"/>
    <col min="13" max="25" width="11.42578125" style="87"/>
    <col min="26" max="16384" width="11.42578125" style="12"/>
  </cols>
  <sheetData>
    <row r="2" spans="1:24" ht="19.5" customHeight="1" x14ac:dyDescent="0.3">
      <c r="A2" s="349"/>
      <c r="B2" s="350"/>
      <c r="C2" s="350"/>
      <c r="D2" s="350"/>
      <c r="E2" s="569" t="s">
        <v>38</v>
      </c>
      <c r="F2" s="570"/>
      <c r="G2" s="570"/>
      <c r="H2" s="570"/>
      <c r="I2" s="570"/>
      <c r="J2" s="570"/>
      <c r="K2" s="571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</row>
    <row r="3" spans="1:24" ht="15" customHeight="1" x14ac:dyDescent="0.25">
      <c r="A3" s="352"/>
      <c r="B3" s="353"/>
      <c r="C3" s="353"/>
      <c r="D3" s="353"/>
      <c r="E3" s="572" t="str">
        <f>BALANZA!Q9</f>
        <v>Cuenta Pública 2016</v>
      </c>
      <c r="F3" s="573"/>
      <c r="G3" s="573"/>
      <c r="H3" s="573"/>
      <c r="I3" s="573"/>
      <c r="J3" s="573"/>
      <c r="K3" s="574"/>
      <c r="R3" s="573"/>
      <c r="S3" s="573"/>
      <c r="T3" s="573"/>
      <c r="U3" s="573"/>
      <c r="V3" s="573"/>
      <c r="W3" s="573"/>
      <c r="X3" s="573"/>
    </row>
    <row r="4" spans="1:24" ht="14.25" customHeight="1" x14ac:dyDescent="0.2">
      <c r="A4" s="355"/>
      <c r="B4" s="356"/>
      <c r="C4" s="356"/>
      <c r="D4" s="356"/>
      <c r="E4" s="575" t="s">
        <v>212</v>
      </c>
      <c r="F4" s="576"/>
      <c r="G4" s="576"/>
      <c r="H4" s="576"/>
      <c r="I4" s="576"/>
      <c r="J4" s="576"/>
      <c r="K4" s="577"/>
      <c r="R4" s="576"/>
      <c r="S4" s="576"/>
      <c r="T4" s="576"/>
      <c r="U4" s="576"/>
      <c r="V4" s="576"/>
      <c r="W4" s="576"/>
      <c r="X4" s="576"/>
    </row>
    <row r="5" spans="1:24" ht="14.25" customHeight="1" x14ac:dyDescent="0.2">
      <c r="A5" s="355"/>
      <c r="B5" s="356"/>
      <c r="C5" s="356"/>
      <c r="D5" s="356"/>
      <c r="E5" s="575" t="str">
        <f>BALANZA!Q8</f>
        <v>Del 1 de enero al 31 de marzo de 2016</v>
      </c>
      <c r="F5" s="576"/>
      <c r="G5" s="576"/>
      <c r="H5" s="576"/>
      <c r="I5" s="576"/>
      <c r="J5" s="576"/>
      <c r="K5" s="577"/>
      <c r="R5" s="576"/>
      <c r="S5" s="576"/>
      <c r="T5" s="576"/>
      <c r="U5" s="576"/>
      <c r="V5" s="576"/>
      <c r="W5" s="576"/>
      <c r="X5" s="576"/>
    </row>
    <row r="6" spans="1:24" ht="14.25" customHeight="1" x14ac:dyDescent="0.2">
      <c r="A6" s="355"/>
      <c r="B6" s="356"/>
      <c r="C6" s="356"/>
      <c r="D6" s="356"/>
      <c r="E6" s="575" t="s">
        <v>0</v>
      </c>
      <c r="F6" s="576"/>
      <c r="G6" s="576"/>
      <c r="H6" s="576"/>
      <c r="I6" s="576"/>
      <c r="J6" s="576"/>
      <c r="K6" s="577"/>
      <c r="R6" s="576"/>
      <c r="S6" s="576"/>
      <c r="T6" s="576"/>
      <c r="U6" s="576"/>
      <c r="V6" s="576"/>
      <c r="W6" s="576"/>
      <c r="X6" s="576"/>
    </row>
    <row r="7" spans="1:24" ht="14.25" customHeight="1" x14ac:dyDescent="0.2">
      <c r="A7" s="355"/>
      <c r="B7" s="356"/>
      <c r="C7" s="356"/>
      <c r="D7" s="356"/>
      <c r="E7" s="575" t="str">
        <f>BALANZA!Q5</f>
        <v>EL COLEGIO DE TLAXCALA, A.C.</v>
      </c>
      <c r="F7" s="576"/>
      <c r="G7" s="576"/>
      <c r="H7" s="576"/>
      <c r="I7" s="576"/>
      <c r="J7" s="576"/>
      <c r="K7" s="357"/>
    </row>
    <row r="8" spans="1:24" ht="22.5" hidden="1" x14ac:dyDescent="0.2">
      <c r="A8" s="314" t="s">
        <v>12</v>
      </c>
      <c r="B8" s="115" t="s">
        <v>5</v>
      </c>
      <c r="C8" s="115" t="s">
        <v>36</v>
      </c>
      <c r="D8" s="115"/>
      <c r="E8" s="314" t="s">
        <v>95</v>
      </c>
      <c r="F8" s="115" t="s">
        <v>6</v>
      </c>
      <c r="G8" s="115" t="s">
        <v>20</v>
      </c>
      <c r="H8" s="115" t="s">
        <v>22</v>
      </c>
      <c r="I8" s="115" t="s">
        <v>24</v>
      </c>
      <c r="J8" s="115" t="s">
        <v>25</v>
      </c>
      <c r="K8" s="313"/>
    </row>
    <row r="9" spans="1:24" ht="48" x14ac:dyDescent="0.2">
      <c r="A9" s="314" t="s">
        <v>3</v>
      </c>
      <c r="B9" s="115" t="s">
        <v>3</v>
      </c>
      <c r="C9" s="115" t="s">
        <v>3</v>
      </c>
      <c r="D9" s="115"/>
      <c r="E9" s="89" t="s">
        <v>40</v>
      </c>
      <c r="F9" s="88" t="s">
        <v>138</v>
      </c>
      <c r="G9" s="88" t="s">
        <v>209</v>
      </c>
      <c r="H9" s="88" t="s">
        <v>210</v>
      </c>
      <c r="I9" s="88" t="s">
        <v>211</v>
      </c>
      <c r="J9" s="88" t="s">
        <v>4</v>
      </c>
      <c r="K9" s="73"/>
    </row>
    <row r="10" spans="1:24" ht="12.75" customHeight="1" x14ac:dyDescent="0.2">
      <c r="A10" s="314"/>
      <c r="B10" s="115"/>
      <c r="C10" s="115"/>
      <c r="D10" s="115"/>
      <c r="E10" s="90" t="s">
        <v>3</v>
      </c>
      <c r="F10" s="171"/>
      <c r="G10" s="171"/>
      <c r="H10" s="74"/>
      <c r="I10" s="74"/>
      <c r="J10" s="74"/>
      <c r="K10" s="75"/>
    </row>
    <row r="11" spans="1:24" x14ac:dyDescent="0.2">
      <c r="A11" s="314"/>
      <c r="B11" s="115"/>
      <c r="C11" s="115"/>
      <c r="D11" s="115"/>
      <c r="E11" s="314"/>
      <c r="F11" s="87"/>
      <c r="G11" s="87"/>
      <c r="H11" s="87"/>
      <c r="I11" s="87"/>
      <c r="J11" s="87"/>
      <c r="K11" s="313"/>
    </row>
    <row r="12" spans="1:24" ht="14.25" customHeight="1" x14ac:dyDescent="0.2">
      <c r="A12" s="314"/>
      <c r="B12" s="115"/>
      <c r="C12" s="115"/>
      <c r="D12" s="115"/>
      <c r="E12" s="390" t="s">
        <v>146</v>
      </c>
      <c r="F12" s="91">
        <v>0</v>
      </c>
      <c r="G12" s="91">
        <v>0</v>
      </c>
      <c r="H12" s="91">
        <v>0</v>
      </c>
      <c r="I12" s="91">
        <v>0</v>
      </c>
      <c r="J12" s="92">
        <f>SUM(F12:I12)</f>
        <v>0</v>
      </c>
      <c r="K12" s="313"/>
    </row>
    <row r="13" spans="1:24" x14ac:dyDescent="0.2">
      <c r="A13" s="314"/>
      <c r="B13" s="115"/>
      <c r="C13" s="115"/>
      <c r="D13" s="115"/>
      <c r="E13" s="423"/>
      <c r="F13" s="93"/>
      <c r="G13" s="93"/>
      <c r="H13" s="93"/>
      <c r="I13" s="93"/>
      <c r="J13" s="93"/>
      <c r="K13" s="313"/>
    </row>
    <row r="14" spans="1:24" ht="14.25" customHeight="1" x14ac:dyDescent="0.2">
      <c r="A14" s="320"/>
      <c r="B14" s="116"/>
      <c r="C14" s="116"/>
      <c r="D14" s="116"/>
      <c r="E14" s="423" t="s">
        <v>201</v>
      </c>
      <c r="F14" s="94">
        <f>SUM(F15:F17)</f>
        <v>3386308</v>
      </c>
      <c r="G14" s="94">
        <f>SUM(G15:G17)</f>
        <v>0</v>
      </c>
      <c r="H14" s="94">
        <f>SUM(H15:H17)</f>
        <v>0</v>
      </c>
      <c r="I14" s="94">
        <f>SUM(I15:I17)</f>
        <v>0</v>
      </c>
      <c r="J14" s="94">
        <f>SUM(F14:I14)</f>
        <v>3386308</v>
      </c>
      <c r="K14" s="313"/>
    </row>
    <row r="15" spans="1:24" x14ac:dyDescent="0.2">
      <c r="A15" s="320">
        <v>3</v>
      </c>
      <c r="B15" s="116">
        <v>1</v>
      </c>
      <c r="C15" s="116">
        <v>1</v>
      </c>
      <c r="D15" s="116"/>
      <c r="E15" s="397" t="s">
        <v>202</v>
      </c>
      <c r="F15" s="95">
        <v>0</v>
      </c>
      <c r="G15" s="95">
        <v>0</v>
      </c>
      <c r="H15" s="95">
        <v>0</v>
      </c>
      <c r="I15" s="95">
        <v>0</v>
      </c>
      <c r="J15" s="93">
        <f>SUM(F15:I15)</f>
        <v>0</v>
      </c>
      <c r="K15" s="313"/>
    </row>
    <row r="16" spans="1:24" ht="14.25" customHeight="1" x14ac:dyDescent="0.2">
      <c r="A16" s="320">
        <v>3</v>
      </c>
      <c r="B16" s="116">
        <v>1</v>
      </c>
      <c r="C16" s="116">
        <v>2</v>
      </c>
      <c r="D16" s="116"/>
      <c r="E16" s="397" t="s">
        <v>139</v>
      </c>
      <c r="F16" s="95">
        <v>0</v>
      </c>
      <c r="G16" s="95">
        <v>0</v>
      </c>
      <c r="H16" s="95">
        <v>0</v>
      </c>
      <c r="I16" s="95">
        <v>0</v>
      </c>
      <c r="J16" s="93">
        <f>SUM(F16:I16)</f>
        <v>0</v>
      </c>
      <c r="K16" s="313"/>
    </row>
    <row r="17" spans="1:11" ht="14.25" customHeight="1" x14ac:dyDescent="0.2">
      <c r="A17" s="320">
        <v>3</v>
      </c>
      <c r="B17" s="116">
        <v>1</v>
      </c>
      <c r="C17" s="116">
        <v>3</v>
      </c>
      <c r="D17" s="116"/>
      <c r="E17" s="397" t="s">
        <v>203</v>
      </c>
      <c r="F17" s="95">
        <f>BALANZA!G392</f>
        <v>3386308</v>
      </c>
      <c r="G17" s="95">
        <v>0</v>
      </c>
      <c r="H17" s="95">
        <v>0</v>
      </c>
      <c r="I17" s="95">
        <v>0</v>
      </c>
      <c r="J17" s="93">
        <f>SUM(F17:I17)</f>
        <v>3386308</v>
      </c>
      <c r="K17" s="313"/>
    </row>
    <row r="18" spans="1:11" ht="14.25" customHeight="1" x14ac:dyDescent="0.2">
      <c r="A18" s="320"/>
      <c r="B18" s="116"/>
      <c r="C18" s="116"/>
      <c r="D18" s="116"/>
      <c r="E18" s="423"/>
      <c r="F18" s="93"/>
      <c r="G18" s="93"/>
      <c r="H18" s="93"/>
      <c r="I18" s="93"/>
      <c r="J18" s="93"/>
      <c r="K18" s="313"/>
    </row>
    <row r="19" spans="1:11" ht="14.25" customHeight="1" x14ac:dyDescent="0.2">
      <c r="A19" s="320"/>
      <c r="B19" s="116"/>
      <c r="C19" s="116"/>
      <c r="D19" s="116"/>
      <c r="E19" s="423" t="s">
        <v>204</v>
      </c>
      <c r="F19" s="94">
        <f>SUM(F20:F23)</f>
        <v>-290674.18</v>
      </c>
      <c r="G19" s="94">
        <f>SUM(G20:G23)</f>
        <v>0</v>
      </c>
      <c r="H19" s="94">
        <f>SUM(H20:H23)</f>
        <v>0</v>
      </c>
      <c r="I19" s="94">
        <f>SUM(I20:I23)</f>
        <v>0</v>
      </c>
      <c r="J19" s="94">
        <f>SUM(F19:I19)</f>
        <v>-290674.18</v>
      </c>
      <c r="K19" s="313"/>
    </row>
    <row r="20" spans="1:11" ht="14.25" customHeight="1" x14ac:dyDescent="0.2">
      <c r="A20" s="320">
        <v>3</v>
      </c>
      <c r="B20" s="116">
        <v>2</v>
      </c>
      <c r="C20" s="116">
        <v>1</v>
      </c>
      <c r="D20" s="116"/>
      <c r="E20" s="397" t="s">
        <v>205</v>
      </c>
      <c r="F20" s="95">
        <f>BALANZA!G363</f>
        <v>0</v>
      </c>
      <c r="G20" s="95">
        <v>0</v>
      </c>
      <c r="H20" s="95">
        <v>0</v>
      </c>
      <c r="I20" s="95">
        <v>0</v>
      </c>
      <c r="J20" s="93">
        <f>SUM(F20:I20)</f>
        <v>0</v>
      </c>
      <c r="K20" s="313"/>
    </row>
    <row r="21" spans="1:11" ht="14.25" customHeight="1" x14ac:dyDescent="0.2">
      <c r="A21" s="320">
        <v>3</v>
      </c>
      <c r="B21" s="116">
        <v>2</v>
      </c>
      <c r="C21" s="116">
        <v>2</v>
      </c>
      <c r="D21" s="116"/>
      <c r="E21" s="397" t="s">
        <v>143</v>
      </c>
      <c r="F21" s="95">
        <f>BALANZA!J364</f>
        <v>-290674.18</v>
      </c>
      <c r="G21" s="95">
        <v>0</v>
      </c>
      <c r="H21" s="95">
        <v>0</v>
      </c>
      <c r="I21" s="95">
        <v>0</v>
      </c>
      <c r="J21" s="93">
        <f>SUM(F21:I21)</f>
        <v>-290674.18</v>
      </c>
      <c r="K21" s="313"/>
    </row>
    <row r="22" spans="1:11" ht="14.25" customHeight="1" x14ac:dyDescent="0.2">
      <c r="A22" s="320">
        <v>3</v>
      </c>
      <c r="B22" s="116">
        <v>2</v>
      </c>
      <c r="C22" s="116">
        <v>3</v>
      </c>
      <c r="D22" s="116"/>
      <c r="E22" s="397" t="s">
        <v>206</v>
      </c>
      <c r="F22" s="95">
        <v>0</v>
      </c>
      <c r="G22" s="95">
        <v>0</v>
      </c>
      <c r="H22" s="95">
        <v>0</v>
      </c>
      <c r="I22" s="95">
        <v>0</v>
      </c>
      <c r="J22" s="93">
        <f>SUM(F22:I22)</f>
        <v>0</v>
      </c>
      <c r="K22" s="313"/>
    </row>
    <row r="23" spans="1:11" ht="14.25" customHeight="1" x14ac:dyDescent="0.2">
      <c r="A23" s="320">
        <v>3</v>
      </c>
      <c r="B23" s="116">
        <v>2</v>
      </c>
      <c r="C23" s="116">
        <v>4</v>
      </c>
      <c r="D23" s="116"/>
      <c r="E23" s="397" t="s">
        <v>145</v>
      </c>
      <c r="F23" s="95">
        <v>0</v>
      </c>
      <c r="G23" s="95">
        <v>0</v>
      </c>
      <c r="H23" s="95">
        <v>0</v>
      </c>
      <c r="I23" s="95">
        <v>0</v>
      </c>
      <c r="J23" s="93">
        <f>SUM(F23:I23)</f>
        <v>0</v>
      </c>
      <c r="K23" s="313"/>
    </row>
    <row r="24" spans="1:11" x14ac:dyDescent="0.2">
      <c r="A24" s="320"/>
      <c r="B24" s="116"/>
      <c r="C24" s="116"/>
      <c r="D24" s="116"/>
      <c r="E24" s="423"/>
      <c r="F24" s="93"/>
      <c r="G24" s="93"/>
      <c r="H24" s="93"/>
      <c r="I24" s="93"/>
      <c r="J24" s="93"/>
      <c r="K24" s="313"/>
    </row>
    <row r="25" spans="1:11" ht="14.25" customHeight="1" thickBot="1" x14ac:dyDescent="0.25">
      <c r="A25" s="320"/>
      <c r="B25" s="116"/>
      <c r="C25" s="116"/>
      <c r="D25" s="116"/>
      <c r="E25" s="424" t="s">
        <v>1259</v>
      </c>
      <c r="F25" s="96">
        <f>F12+F14+F19</f>
        <v>3095633.82</v>
      </c>
      <c r="G25" s="96">
        <f>G12+G14+G19</f>
        <v>0</v>
      </c>
      <c r="H25" s="96">
        <f>H12+H14+H19</f>
        <v>0</v>
      </c>
      <c r="I25" s="96">
        <f>I12+I14+I19</f>
        <v>0</v>
      </c>
      <c r="J25" s="96">
        <f>J12+J14+J19</f>
        <v>3095633.82</v>
      </c>
      <c r="K25" s="313"/>
    </row>
    <row r="26" spans="1:11" ht="14.25" customHeight="1" x14ac:dyDescent="0.2">
      <c r="A26" s="320"/>
      <c r="B26" s="116"/>
      <c r="C26" s="116"/>
      <c r="D26" s="116"/>
      <c r="E26" s="425"/>
      <c r="F26" s="93"/>
      <c r="G26" s="93"/>
      <c r="H26" s="93"/>
      <c r="I26" s="93"/>
      <c r="J26" s="93"/>
      <c r="K26" s="313"/>
    </row>
    <row r="27" spans="1:11" ht="14.25" customHeight="1" x14ac:dyDescent="0.2">
      <c r="A27" s="320"/>
      <c r="B27" s="116"/>
      <c r="C27" s="116"/>
      <c r="D27" s="116"/>
      <c r="E27" s="423" t="s">
        <v>207</v>
      </c>
      <c r="F27" s="94">
        <f>SUM(F28:F30)</f>
        <v>0</v>
      </c>
      <c r="G27" s="94">
        <f>SUM(G28:G30)</f>
        <v>0</v>
      </c>
      <c r="H27" s="94">
        <f>SUM(H28:H30)</f>
        <v>0</v>
      </c>
      <c r="I27" s="94">
        <f>SUM(I28:I30)</f>
        <v>0</v>
      </c>
      <c r="J27" s="94">
        <f>SUM(F27:I27)</f>
        <v>0</v>
      </c>
      <c r="K27" s="313"/>
    </row>
    <row r="28" spans="1:11" ht="14.25" customHeight="1" x14ac:dyDescent="0.2">
      <c r="A28" s="320">
        <v>3</v>
      </c>
      <c r="B28" s="116">
        <v>1</v>
      </c>
      <c r="C28" s="116">
        <v>1</v>
      </c>
      <c r="D28" s="116"/>
      <c r="E28" s="397" t="s">
        <v>76</v>
      </c>
      <c r="F28" s="95">
        <v>0</v>
      </c>
      <c r="G28" s="95">
        <v>0</v>
      </c>
      <c r="H28" s="95">
        <v>0</v>
      </c>
      <c r="I28" s="95">
        <v>0</v>
      </c>
      <c r="J28" s="93">
        <f>SUM(F28:I28)</f>
        <v>0</v>
      </c>
      <c r="K28" s="313"/>
    </row>
    <row r="29" spans="1:11" ht="14.25" customHeight="1" x14ac:dyDescent="0.2">
      <c r="A29" s="320">
        <v>3</v>
      </c>
      <c r="B29" s="116">
        <v>1</v>
      </c>
      <c r="C29" s="116">
        <v>2</v>
      </c>
      <c r="D29" s="116"/>
      <c r="E29" s="397" t="s">
        <v>139</v>
      </c>
      <c r="F29" s="95">
        <v>0</v>
      </c>
      <c r="G29" s="95">
        <v>0</v>
      </c>
      <c r="H29" s="95">
        <v>0</v>
      </c>
      <c r="I29" s="95">
        <v>0</v>
      </c>
      <c r="J29" s="93">
        <f>SUM(F29:I29)</f>
        <v>0</v>
      </c>
      <c r="K29" s="313"/>
    </row>
    <row r="30" spans="1:11" ht="14.25" customHeight="1" x14ac:dyDescent="0.2">
      <c r="A30" s="320">
        <v>3</v>
      </c>
      <c r="B30" s="116">
        <v>1</v>
      </c>
      <c r="C30" s="116">
        <v>3</v>
      </c>
      <c r="D30" s="116"/>
      <c r="E30" s="397" t="s">
        <v>203</v>
      </c>
      <c r="F30" s="95">
        <v>0</v>
      </c>
      <c r="G30" s="95">
        <v>0</v>
      </c>
      <c r="H30" s="95">
        <f>BALANZA!I392</f>
        <v>0</v>
      </c>
      <c r="I30" s="95">
        <v>0</v>
      </c>
      <c r="J30" s="93">
        <f>SUM(F30:I30)</f>
        <v>0</v>
      </c>
      <c r="K30" s="313"/>
    </row>
    <row r="31" spans="1:11" ht="14.25" customHeight="1" x14ac:dyDescent="0.2">
      <c r="A31" s="320"/>
      <c r="B31" s="116"/>
      <c r="C31" s="116"/>
      <c r="D31" s="116"/>
      <c r="E31" s="423"/>
      <c r="F31" s="93"/>
      <c r="G31" s="93"/>
      <c r="H31" s="93"/>
      <c r="I31" s="93"/>
      <c r="J31" s="93"/>
      <c r="K31" s="313"/>
    </row>
    <row r="32" spans="1:11" ht="14.25" customHeight="1" x14ac:dyDescent="0.2">
      <c r="A32" s="320"/>
      <c r="B32" s="116"/>
      <c r="C32" s="116"/>
      <c r="D32" s="116"/>
      <c r="E32" s="423" t="s">
        <v>208</v>
      </c>
      <c r="F32" s="94">
        <f>SUM(F33:F36)</f>
        <v>472406</v>
      </c>
      <c r="G32" s="94">
        <f>SUM(G33:G36)</f>
        <v>0</v>
      </c>
      <c r="H32" s="94">
        <f>SUM(H33:H36)</f>
        <v>472406</v>
      </c>
      <c r="I32" s="94">
        <f>SUM(I33:I36)</f>
        <v>0</v>
      </c>
      <c r="J32" s="94">
        <f>SUM(F32:I32)</f>
        <v>944812</v>
      </c>
      <c r="K32" s="313"/>
    </row>
    <row r="33" spans="1:11" ht="14.25" customHeight="1" x14ac:dyDescent="0.2">
      <c r="A33" s="320">
        <v>3</v>
      </c>
      <c r="B33" s="116">
        <v>2</v>
      </c>
      <c r="C33" s="116">
        <v>1</v>
      </c>
      <c r="D33" s="116"/>
      <c r="E33" s="397" t="s">
        <v>205</v>
      </c>
      <c r="F33" s="95">
        <f>BALANZA!J363</f>
        <v>472406</v>
      </c>
      <c r="G33" s="95">
        <v>0</v>
      </c>
      <c r="H33" s="95">
        <f>BALANZA!J363</f>
        <v>472406</v>
      </c>
      <c r="I33" s="95">
        <v>0</v>
      </c>
      <c r="J33" s="93">
        <f>SUM(F33:I33)</f>
        <v>944812</v>
      </c>
      <c r="K33" s="313"/>
    </row>
    <row r="34" spans="1:11" ht="14.25" customHeight="1" x14ac:dyDescent="0.2">
      <c r="A34" s="320">
        <v>3</v>
      </c>
      <c r="B34" s="116">
        <v>2</v>
      </c>
      <c r="C34" s="116">
        <v>2</v>
      </c>
      <c r="D34" s="116"/>
      <c r="E34" s="397" t="s">
        <v>143</v>
      </c>
      <c r="F34" s="95">
        <v>0</v>
      </c>
      <c r="G34" s="95">
        <v>0</v>
      </c>
      <c r="H34" s="95">
        <v>0</v>
      </c>
      <c r="I34" s="95">
        <v>0</v>
      </c>
      <c r="J34" s="93">
        <f>SUM(F34:I34)</f>
        <v>0</v>
      </c>
      <c r="K34" s="313"/>
    </row>
    <row r="35" spans="1:11" x14ac:dyDescent="0.2">
      <c r="A35" s="320">
        <v>3</v>
      </c>
      <c r="B35" s="116">
        <v>2</v>
      </c>
      <c r="C35" s="116">
        <v>3</v>
      </c>
      <c r="D35" s="116"/>
      <c r="E35" s="397" t="s">
        <v>206</v>
      </c>
      <c r="F35" s="95">
        <v>0</v>
      </c>
      <c r="G35" s="95">
        <v>0</v>
      </c>
      <c r="H35" s="95">
        <v>0</v>
      </c>
      <c r="I35" s="95">
        <v>0</v>
      </c>
      <c r="J35" s="93">
        <f>SUM(F35:I35)</f>
        <v>0</v>
      </c>
      <c r="K35" s="313"/>
    </row>
    <row r="36" spans="1:11" ht="14.25" customHeight="1" x14ac:dyDescent="0.2">
      <c r="A36" s="320">
        <v>3</v>
      </c>
      <c r="B36" s="116">
        <v>2</v>
      </c>
      <c r="C36" s="116">
        <v>4</v>
      </c>
      <c r="D36" s="116"/>
      <c r="E36" s="397" t="s">
        <v>145</v>
      </c>
      <c r="F36" s="95">
        <v>0</v>
      </c>
      <c r="G36" s="95">
        <v>0</v>
      </c>
      <c r="H36" s="95">
        <v>0</v>
      </c>
      <c r="I36" s="95">
        <v>0</v>
      </c>
      <c r="J36" s="93">
        <f>SUM(F36:I36)</f>
        <v>0</v>
      </c>
      <c r="K36" s="313"/>
    </row>
    <row r="37" spans="1:11" ht="14.25" customHeight="1" x14ac:dyDescent="0.2">
      <c r="A37" s="321"/>
      <c r="B37" s="117"/>
      <c r="C37" s="117"/>
      <c r="D37" s="117"/>
      <c r="E37" s="423"/>
      <c r="F37" s="93"/>
      <c r="G37" s="93"/>
      <c r="H37" s="93"/>
      <c r="I37" s="93"/>
      <c r="J37" s="93"/>
      <c r="K37" s="313"/>
    </row>
    <row r="38" spans="1:11" ht="14.25" customHeight="1" x14ac:dyDescent="0.2">
      <c r="A38" s="321"/>
      <c r="B38" s="117"/>
      <c r="C38" s="117"/>
      <c r="D38" s="117"/>
      <c r="E38" s="426" t="s">
        <v>1260</v>
      </c>
      <c r="F38" s="97">
        <f>F25+F27+F32</f>
        <v>3568039.82</v>
      </c>
      <c r="G38" s="97">
        <f>G25+G27+G32</f>
        <v>0</v>
      </c>
      <c r="H38" s="97">
        <f>H25+H27+H32</f>
        <v>472406</v>
      </c>
      <c r="I38" s="97">
        <f>I25+I27+I32</f>
        <v>0</v>
      </c>
      <c r="J38" s="97">
        <f>SUM(F38:I38)</f>
        <v>4040445.82</v>
      </c>
      <c r="K38" s="313"/>
    </row>
    <row r="39" spans="1:11" ht="14.25" customHeight="1" x14ac:dyDescent="0.2">
      <c r="A39" s="322"/>
      <c r="B39" s="323"/>
      <c r="C39" s="323"/>
      <c r="D39" s="323"/>
      <c r="E39" s="426"/>
      <c r="F39" s="97"/>
      <c r="G39" s="97"/>
      <c r="H39" s="97"/>
      <c r="I39" s="97"/>
      <c r="J39" s="97"/>
      <c r="K39" s="417"/>
    </row>
    <row r="40" spans="1:11" ht="14.25" customHeight="1" x14ac:dyDescent="0.2">
      <c r="E40" s="418"/>
      <c r="F40" s="17"/>
      <c r="G40" s="17"/>
      <c r="H40" s="17"/>
      <c r="I40" s="17"/>
      <c r="J40" s="17"/>
    </row>
    <row r="41" spans="1:11" x14ac:dyDescent="0.2">
      <c r="E41" s="420" t="s">
        <v>152</v>
      </c>
      <c r="F41" s="420"/>
      <c r="G41" s="420"/>
      <c r="H41" s="421"/>
      <c r="I41" s="422"/>
      <c r="J41" s="422"/>
    </row>
    <row r="42" spans="1:11" x14ac:dyDescent="0.2">
      <c r="E42" s="29"/>
      <c r="F42" s="43"/>
      <c r="G42" s="43"/>
      <c r="H42" s="45"/>
    </row>
    <row r="43" spans="1:11" x14ac:dyDescent="0.2">
      <c r="E43" s="29"/>
      <c r="F43" s="43"/>
      <c r="G43" s="43"/>
      <c r="H43" s="603"/>
      <c r="I43" s="603"/>
    </row>
    <row r="44" spans="1:11" x14ac:dyDescent="0.2">
      <c r="E44" s="48" t="str">
        <f>BALANZA!Q1</f>
        <v>Dr. Alfredo Cuecuecha Mendoza</v>
      </c>
      <c r="F44" s="31"/>
      <c r="G44" s="43"/>
      <c r="H44" s="578" t="str">
        <f>BALANZA!Q3</f>
        <v>C.P. José Santiago Ortega Vega</v>
      </c>
      <c r="I44" s="578"/>
    </row>
    <row r="45" spans="1:11" ht="14.25" customHeight="1" x14ac:dyDescent="0.2">
      <c r="E45" s="49" t="str">
        <f>BALANZA!Q2</f>
        <v>Presidente de la Junta de Gobierno</v>
      </c>
      <c r="F45" s="31"/>
      <c r="G45" s="43"/>
      <c r="H45" s="580" t="str">
        <f>BALANZA!Q4</f>
        <v>Director Administrativo</v>
      </c>
      <c r="I45" s="580"/>
    </row>
    <row r="46" spans="1:11" x14ac:dyDescent="0.2">
      <c r="E46" s="2"/>
    </row>
    <row r="47" spans="1:11" x14ac:dyDescent="0.2">
      <c r="A47" s="10" t="s">
        <v>23</v>
      </c>
      <c r="E47" s="2"/>
      <c r="F47" s="9"/>
      <c r="G47" s="9"/>
    </row>
    <row r="48" spans="1:11" ht="14.25" customHeight="1" x14ac:dyDescent="0.2">
      <c r="A48" s="15" t="s">
        <v>12</v>
      </c>
      <c r="B48" s="602" t="s">
        <v>13</v>
      </c>
      <c r="C48" s="602"/>
      <c r="D48" s="602"/>
      <c r="E48" s="602"/>
      <c r="F48" s="602"/>
      <c r="G48" s="602"/>
      <c r="H48" s="602"/>
      <c r="I48" s="602"/>
    </row>
    <row r="49" spans="1:25" ht="14.25" customHeight="1" x14ac:dyDescent="0.2">
      <c r="A49" s="15" t="s">
        <v>5</v>
      </c>
      <c r="B49" s="602" t="s">
        <v>14</v>
      </c>
      <c r="C49" s="602"/>
      <c r="D49" s="602"/>
      <c r="E49" s="602"/>
      <c r="F49" s="602"/>
      <c r="G49" s="602"/>
      <c r="H49" s="602"/>
      <c r="I49" s="602"/>
    </row>
    <row r="50" spans="1:25" ht="14.25" customHeight="1" x14ac:dyDescent="0.2">
      <c r="A50" s="15" t="s">
        <v>15</v>
      </c>
      <c r="B50" s="602" t="s">
        <v>16</v>
      </c>
      <c r="C50" s="602"/>
      <c r="D50" s="602"/>
      <c r="E50" s="602"/>
      <c r="F50" s="602"/>
      <c r="G50" s="602"/>
      <c r="H50" s="602"/>
      <c r="I50" s="602"/>
    </row>
    <row r="51" spans="1:25" ht="14.25" customHeight="1" x14ac:dyDescent="0.2">
      <c r="A51" s="15" t="s">
        <v>17</v>
      </c>
      <c r="B51" s="602" t="s">
        <v>19</v>
      </c>
      <c r="C51" s="602"/>
      <c r="D51" s="602"/>
      <c r="E51" s="602"/>
      <c r="F51" s="602"/>
      <c r="G51" s="602"/>
      <c r="H51" s="602"/>
      <c r="I51" s="602"/>
    </row>
    <row r="52" spans="1:25" ht="14.25" customHeight="1" x14ac:dyDescent="0.2">
      <c r="A52" s="15" t="s">
        <v>18</v>
      </c>
      <c r="B52" s="602" t="s">
        <v>30</v>
      </c>
      <c r="C52" s="602"/>
      <c r="D52" s="602"/>
      <c r="E52" s="602"/>
      <c r="F52" s="602"/>
      <c r="G52" s="602"/>
      <c r="H52" s="602"/>
      <c r="I52" s="602"/>
    </row>
    <row r="53" spans="1:25" ht="14.25" customHeight="1" x14ac:dyDescent="0.2">
      <c r="A53" s="15" t="s">
        <v>20</v>
      </c>
      <c r="B53" s="602" t="s">
        <v>31</v>
      </c>
      <c r="C53" s="602"/>
      <c r="D53" s="602"/>
      <c r="E53" s="602"/>
      <c r="F53" s="602"/>
      <c r="G53" s="602"/>
      <c r="H53" s="602"/>
      <c r="I53" s="602"/>
    </row>
    <row r="54" spans="1:25" ht="14.25" customHeight="1" x14ac:dyDescent="0.2">
      <c r="A54" s="15" t="s">
        <v>22</v>
      </c>
      <c r="B54" s="602" t="s">
        <v>32</v>
      </c>
      <c r="C54" s="602"/>
      <c r="D54" s="602"/>
      <c r="E54" s="602"/>
      <c r="F54" s="602"/>
      <c r="G54" s="602"/>
      <c r="H54" s="602"/>
      <c r="I54" s="602"/>
    </row>
    <row r="55" spans="1:25" ht="14.25" customHeight="1" x14ac:dyDescent="0.2">
      <c r="A55" s="15" t="s">
        <v>24</v>
      </c>
      <c r="B55" s="602" t="s">
        <v>178</v>
      </c>
      <c r="C55" s="602"/>
      <c r="D55" s="602"/>
      <c r="E55" s="602"/>
      <c r="F55" s="602"/>
      <c r="G55" s="602"/>
      <c r="H55" s="602"/>
      <c r="I55" s="602"/>
    </row>
    <row r="56" spans="1:25" ht="14.25" customHeight="1" x14ac:dyDescent="0.2">
      <c r="A56" s="15" t="s">
        <v>25</v>
      </c>
      <c r="B56" s="602" t="s">
        <v>179</v>
      </c>
      <c r="C56" s="602"/>
      <c r="D56" s="602"/>
      <c r="E56" s="602"/>
      <c r="F56" s="602"/>
      <c r="G56" s="602"/>
      <c r="H56" s="602"/>
      <c r="I56" s="602"/>
    </row>
    <row r="57" spans="1:25" s="6" customFormat="1" ht="14.25" customHeight="1" x14ac:dyDescent="0.2">
      <c r="A57" s="8"/>
      <c r="B57" s="602" t="s">
        <v>3</v>
      </c>
      <c r="C57" s="602"/>
      <c r="D57" s="602"/>
      <c r="E57" s="602"/>
      <c r="F57" s="602"/>
      <c r="G57" s="602"/>
      <c r="H57" s="602"/>
      <c r="I57" s="602"/>
      <c r="M57" s="474"/>
      <c r="N57" s="474"/>
      <c r="O57" s="474"/>
      <c r="P57" s="474"/>
      <c r="Q57" s="474"/>
      <c r="R57" s="474"/>
      <c r="S57" s="474"/>
      <c r="T57" s="474"/>
      <c r="U57" s="474"/>
      <c r="V57" s="474"/>
      <c r="W57" s="474"/>
      <c r="X57" s="474"/>
      <c r="Y57" s="474"/>
    </row>
    <row r="58" spans="1:25" s="6" customFormat="1" x14ac:dyDescent="0.2">
      <c r="A58" s="8"/>
      <c r="B58" s="8"/>
      <c r="C58" s="8"/>
      <c r="D58" s="8"/>
      <c r="E58" s="2"/>
      <c r="G58" s="12"/>
      <c r="H58" s="12"/>
      <c r="M58" s="474"/>
      <c r="N58" s="474"/>
      <c r="O58" s="474"/>
      <c r="P58" s="474"/>
      <c r="Q58" s="474"/>
      <c r="R58" s="474"/>
      <c r="S58" s="474"/>
      <c r="T58" s="474"/>
      <c r="U58" s="474"/>
      <c r="V58" s="474"/>
      <c r="W58" s="474"/>
      <c r="X58" s="474"/>
      <c r="Y58" s="474"/>
    </row>
    <row r="59" spans="1:25" s="6" customFormat="1" x14ac:dyDescent="0.2">
      <c r="A59" s="8"/>
      <c r="B59" s="8"/>
      <c r="C59" s="8"/>
      <c r="D59" s="8"/>
      <c r="E59" s="2"/>
      <c r="G59" s="12"/>
      <c r="H59" s="12"/>
      <c r="M59" s="474"/>
      <c r="N59" s="474"/>
      <c r="O59" s="474"/>
      <c r="P59" s="474"/>
      <c r="Q59" s="474"/>
      <c r="R59" s="474"/>
      <c r="S59" s="474"/>
      <c r="T59" s="474"/>
      <c r="U59" s="474"/>
      <c r="V59" s="474"/>
      <c r="W59" s="474"/>
      <c r="X59" s="474"/>
      <c r="Y59" s="474"/>
    </row>
    <row r="60" spans="1:25" s="6" customFormat="1" x14ac:dyDescent="0.2">
      <c r="A60" s="8"/>
      <c r="B60" s="8"/>
      <c r="C60" s="8"/>
      <c r="D60" s="8"/>
      <c r="E60" s="2"/>
      <c r="G60" s="12"/>
      <c r="H60" s="12"/>
      <c r="M60" s="474"/>
      <c r="N60" s="474"/>
      <c r="O60" s="474"/>
      <c r="P60" s="474"/>
      <c r="Q60" s="474"/>
      <c r="R60" s="474"/>
      <c r="S60" s="474"/>
      <c r="T60" s="474"/>
      <c r="U60" s="474"/>
      <c r="V60" s="474"/>
      <c r="W60" s="474"/>
      <c r="X60" s="474"/>
      <c r="Y60" s="474"/>
    </row>
    <row r="61" spans="1:25" s="6" customFormat="1" x14ac:dyDescent="0.2">
      <c r="A61" s="8"/>
      <c r="B61" s="8"/>
      <c r="C61" s="8"/>
      <c r="D61" s="8"/>
      <c r="E61" s="2"/>
      <c r="G61" s="12"/>
      <c r="H61" s="12"/>
      <c r="M61" s="474"/>
      <c r="N61" s="474"/>
      <c r="O61" s="474"/>
      <c r="P61" s="474"/>
      <c r="Q61" s="474"/>
      <c r="R61" s="474"/>
      <c r="S61" s="474"/>
      <c r="T61" s="474"/>
      <c r="U61" s="474"/>
      <c r="V61" s="474"/>
      <c r="W61" s="474"/>
      <c r="X61" s="474"/>
      <c r="Y61" s="474"/>
    </row>
    <row r="62" spans="1:25" s="6" customFormat="1" x14ac:dyDescent="0.2">
      <c r="A62" s="8"/>
      <c r="B62" s="8"/>
      <c r="C62" s="8"/>
      <c r="D62" s="8"/>
      <c r="E62" s="2"/>
      <c r="G62" s="12"/>
      <c r="H62" s="12"/>
      <c r="M62" s="474"/>
      <c r="N62" s="474"/>
      <c r="O62" s="474"/>
      <c r="P62" s="474"/>
      <c r="Q62" s="474"/>
      <c r="R62" s="474"/>
      <c r="S62" s="474"/>
      <c r="T62" s="474"/>
      <c r="U62" s="474"/>
      <c r="V62" s="474"/>
      <c r="W62" s="474"/>
      <c r="X62" s="474"/>
      <c r="Y62" s="474"/>
    </row>
    <row r="63" spans="1:25" s="6" customFormat="1" x14ac:dyDescent="0.2">
      <c r="A63" s="8"/>
      <c r="B63" s="8"/>
      <c r="C63" s="8"/>
      <c r="D63" s="8"/>
      <c r="E63" s="2"/>
      <c r="G63" s="12"/>
      <c r="H63" s="12"/>
      <c r="M63" s="474"/>
      <c r="N63" s="474"/>
      <c r="O63" s="474"/>
      <c r="P63" s="474"/>
      <c r="Q63" s="474"/>
      <c r="R63" s="474"/>
      <c r="S63" s="474"/>
      <c r="T63" s="474"/>
      <c r="U63" s="474"/>
      <c r="V63" s="474"/>
      <c r="W63" s="474"/>
      <c r="X63" s="474"/>
      <c r="Y63" s="474"/>
    </row>
    <row r="64" spans="1:25" s="6" customFormat="1" x14ac:dyDescent="0.2">
      <c r="A64" s="8"/>
      <c r="B64" s="8"/>
      <c r="C64" s="8"/>
      <c r="D64" s="8"/>
      <c r="E64" s="2"/>
      <c r="G64" s="12"/>
      <c r="H64" s="12"/>
      <c r="M64" s="474"/>
      <c r="N64" s="474"/>
      <c r="O64" s="474"/>
      <c r="P64" s="474"/>
      <c r="Q64" s="474"/>
      <c r="R64" s="474"/>
      <c r="S64" s="474"/>
      <c r="T64" s="474"/>
      <c r="U64" s="474"/>
      <c r="V64" s="474"/>
      <c r="W64" s="474"/>
      <c r="X64" s="474"/>
      <c r="Y64" s="474"/>
    </row>
    <row r="65" spans="1:25" s="6" customFormat="1" x14ac:dyDescent="0.2">
      <c r="A65" s="8"/>
      <c r="B65" s="8"/>
      <c r="C65" s="8"/>
      <c r="D65" s="8"/>
      <c r="E65" s="2"/>
      <c r="G65" s="12"/>
      <c r="H65" s="12"/>
      <c r="M65" s="474"/>
      <c r="N65" s="474"/>
      <c r="O65" s="474"/>
      <c r="P65" s="474"/>
      <c r="Q65" s="474"/>
      <c r="R65" s="474"/>
      <c r="S65" s="474"/>
      <c r="T65" s="474"/>
      <c r="U65" s="474"/>
      <c r="V65" s="474"/>
      <c r="W65" s="474"/>
      <c r="X65" s="474"/>
      <c r="Y65" s="474"/>
    </row>
    <row r="66" spans="1:25" s="6" customFormat="1" x14ac:dyDescent="0.2">
      <c r="A66" s="8"/>
      <c r="B66" s="8"/>
      <c r="C66" s="8"/>
      <c r="D66" s="8"/>
      <c r="E66" s="2"/>
      <c r="G66" s="12"/>
      <c r="H66" s="12"/>
      <c r="M66" s="474"/>
      <c r="N66" s="474"/>
      <c r="O66" s="474"/>
      <c r="P66" s="474"/>
      <c r="Q66" s="474"/>
      <c r="R66" s="474"/>
      <c r="S66" s="474"/>
      <c r="T66" s="474"/>
      <c r="U66" s="474"/>
      <c r="V66" s="474"/>
      <c r="W66" s="474"/>
      <c r="X66" s="474"/>
      <c r="Y66" s="474"/>
    </row>
    <row r="67" spans="1:25" s="6" customFormat="1" x14ac:dyDescent="0.2">
      <c r="A67" s="8"/>
      <c r="B67" s="8"/>
      <c r="C67" s="8"/>
      <c r="D67" s="8"/>
      <c r="E67" s="2"/>
      <c r="G67" s="12"/>
      <c r="H67" s="12"/>
      <c r="M67" s="474"/>
      <c r="N67" s="474"/>
      <c r="O67" s="474"/>
      <c r="P67" s="474"/>
      <c r="Q67" s="474"/>
      <c r="R67" s="474"/>
      <c r="S67" s="474"/>
      <c r="T67" s="474"/>
      <c r="U67" s="474"/>
      <c r="V67" s="474"/>
      <c r="W67" s="474"/>
      <c r="X67" s="474"/>
      <c r="Y67" s="474"/>
    </row>
    <row r="68" spans="1:25" s="6" customFormat="1" x14ac:dyDescent="0.2">
      <c r="A68" s="8"/>
      <c r="B68" s="8"/>
      <c r="C68" s="8"/>
      <c r="D68" s="8"/>
      <c r="E68" s="2"/>
      <c r="G68" s="12"/>
      <c r="H68" s="12"/>
      <c r="M68" s="474"/>
      <c r="N68" s="474"/>
      <c r="O68" s="474"/>
      <c r="P68" s="474"/>
      <c r="Q68" s="474"/>
      <c r="R68" s="474"/>
      <c r="S68" s="474"/>
      <c r="T68" s="474"/>
      <c r="U68" s="474"/>
      <c r="V68" s="474"/>
      <c r="W68" s="474"/>
      <c r="X68" s="474"/>
      <c r="Y68" s="474"/>
    </row>
    <row r="69" spans="1:25" s="6" customFormat="1" x14ac:dyDescent="0.2">
      <c r="A69" s="8"/>
      <c r="B69" s="8"/>
      <c r="C69" s="8"/>
      <c r="D69" s="8"/>
      <c r="E69" s="2"/>
      <c r="G69" s="12"/>
      <c r="H69" s="12"/>
      <c r="M69" s="474"/>
      <c r="N69" s="474"/>
      <c r="O69" s="474"/>
      <c r="P69" s="474"/>
      <c r="Q69" s="474"/>
      <c r="R69" s="474"/>
      <c r="S69" s="474"/>
      <c r="T69" s="474"/>
      <c r="U69" s="474"/>
      <c r="V69" s="474"/>
      <c r="W69" s="474"/>
      <c r="X69" s="474"/>
      <c r="Y69" s="474"/>
    </row>
    <row r="70" spans="1:25" s="6" customFormat="1" x14ac:dyDescent="0.2">
      <c r="A70" s="8"/>
      <c r="B70" s="8"/>
      <c r="C70" s="8"/>
      <c r="D70" s="8"/>
      <c r="E70" s="2"/>
      <c r="G70" s="12"/>
      <c r="H70" s="12"/>
      <c r="M70" s="474"/>
      <c r="N70" s="474"/>
      <c r="O70" s="474"/>
      <c r="P70" s="474"/>
      <c r="Q70" s="474"/>
      <c r="R70" s="474"/>
      <c r="S70" s="474"/>
      <c r="T70" s="474"/>
      <c r="U70" s="474"/>
      <c r="V70" s="474"/>
      <c r="W70" s="474"/>
      <c r="X70" s="474"/>
      <c r="Y70" s="474"/>
    </row>
    <row r="71" spans="1:25" s="6" customFormat="1" x14ac:dyDescent="0.2">
      <c r="A71" s="8"/>
      <c r="B71" s="8"/>
      <c r="C71" s="8"/>
      <c r="D71" s="8"/>
      <c r="E71" s="2"/>
      <c r="G71" s="12"/>
      <c r="H71" s="12"/>
      <c r="M71" s="474"/>
      <c r="N71" s="474"/>
      <c r="O71" s="474"/>
      <c r="P71" s="474"/>
      <c r="Q71" s="474"/>
      <c r="R71" s="474"/>
      <c r="S71" s="474"/>
      <c r="T71" s="474"/>
      <c r="U71" s="474"/>
      <c r="V71" s="474"/>
      <c r="W71" s="474"/>
      <c r="X71" s="474"/>
      <c r="Y71" s="474"/>
    </row>
    <row r="72" spans="1:25" s="6" customFormat="1" x14ac:dyDescent="0.2">
      <c r="A72" s="8"/>
      <c r="B72" s="8"/>
      <c r="C72" s="8"/>
      <c r="D72" s="8"/>
      <c r="E72" s="2"/>
      <c r="G72" s="12"/>
      <c r="H72" s="12"/>
      <c r="M72" s="474"/>
      <c r="N72" s="474"/>
      <c r="O72" s="474"/>
      <c r="P72" s="474"/>
      <c r="Q72" s="474"/>
      <c r="R72" s="474"/>
      <c r="S72" s="474"/>
      <c r="T72" s="474"/>
      <c r="U72" s="474"/>
      <c r="V72" s="474"/>
      <c r="W72" s="474"/>
      <c r="X72" s="474"/>
      <c r="Y72" s="474"/>
    </row>
    <row r="73" spans="1:25" s="6" customFormat="1" x14ac:dyDescent="0.2">
      <c r="A73" s="8"/>
      <c r="B73" s="8"/>
      <c r="C73" s="8"/>
      <c r="D73" s="8"/>
      <c r="E73" s="2"/>
      <c r="G73" s="12"/>
      <c r="H73" s="12"/>
      <c r="M73" s="474"/>
      <c r="N73" s="474"/>
      <c r="O73" s="474"/>
      <c r="P73" s="474"/>
      <c r="Q73" s="474"/>
      <c r="R73" s="474"/>
      <c r="S73" s="474"/>
      <c r="T73" s="474"/>
      <c r="U73" s="474"/>
      <c r="V73" s="474"/>
      <c r="W73" s="474"/>
      <c r="X73" s="474"/>
      <c r="Y73" s="474"/>
    </row>
    <row r="74" spans="1:25" s="6" customFormat="1" x14ac:dyDescent="0.2">
      <c r="A74" s="8"/>
      <c r="B74" s="8"/>
      <c r="C74" s="8"/>
      <c r="D74" s="8"/>
      <c r="E74" s="2"/>
      <c r="G74" s="12"/>
      <c r="H74" s="12"/>
      <c r="M74" s="474"/>
      <c r="N74" s="474"/>
      <c r="O74" s="474"/>
      <c r="P74" s="474"/>
      <c r="Q74" s="474"/>
      <c r="R74" s="474"/>
      <c r="S74" s="474"/>
      <c r="T74" s="474"/>
      <c r="U74" s="474"/>
      <c r="V74" s="474"/>
      <c r="W74" s="474"/>
      <c r="X74" s="474"/>
      <c r="Y74" s="474"/>
    </row>
    <row r="75" spans="1:25" s="6" customFormat="1" x14ac:dyDescent="0.2">
      <c r="A75" s="8"/>
      <c r="B75" s="8"/>
      <c r="C75" s="8"/>
      <c r="D75" s="8"/>
      <c r="E75" s="2"/>
      <c r="G75" s="12"/>
      <c r="H75" s="12"/>
      <c r="M75" s="474"/>
      <c r="N75" s="474"/>
      <c r="O75" s="474"/>
      <c r="P75" s="474"/>
      <c r="Q75" s="474"/>
      <c r="R75" s="474"/>
      <c r="S75" s="474"/>
      <c r="T75" s="474"/>
      <c r="U75" s="474"/>
      <c r="V75" s="474"/>
      <c r="W75" s="474"/>
      <c r="X75" s="474"/>
      <c r="Y75" s="474"/>
    </row>
    <row r="76" spans="1:25" s="6" customFormat="1" x14ac:dyDescent="0.2">
      <c r="A76" s="8"/>
      <c r="B76" s="8"/>
      <c r="C76" s="8"/>
      <c r="D76" s="8"/>
      <c r="E76" s="2"/>
      <c r="G76" s="12"/>
      <c r="H76" s="12"/>
      <c r="M76" s="474"/>
      <c r="N76" s="474"/>
      <c r="O76" s="474"/>
      <c r="P76" s="474"/>
      <c r="Q76" s="474"/>
      <c r="R76" s="474"/>
      <c r="S76" s="474"/>
      <c r="T76" s="474"/>
      <c r="U76" s="474"/>
      <c r="V76" s="474"/>
      <c r="W76" s="474"/>
      <c r="X76" s="474"/>
      <c r="Y76" s="474"/>
    </row>
    <row r="77" spans="1:25" s="6" customFormat="1" x14ac:dyDescent="0.2">
      <c r="A77" s="8"/>
      <c r="B77" s="8"/>
      <c r="C77" s="8"/>
      <c r="D77" s="8"/>
      <c r="E77" s="2"/>
      <c r="G77" s="12"/>
      <c r="H77" s="12"/>
      <c r="M77" s="474"/>
      <c r="N77" s="474"/>
      <c r="O77" s="474"/>
      <c r="P77" s="474"/>
      <c r="Q77" s="474"/>
      <c r="R77" s="474"/>
      <c r="S77" s="474"/>
      <c r="T77" s="474"/>
      <c r="U77" s="474"/>
      <c r="V77" s="474"/>
      <c r="W77" s="474"/>
      <c r="X77" s="474"/>
      <c r="Y77" s="474"/>
    </row>
    <row r="78" spans="1:25" s="6" customFormat="1" x14ac:dyDescent="0.2">
      <c r="A78" s="8"/>
      <c r="B78" s="8"/>
      <c r="C78" s="8"/>
      <c r="D78" s="8"/>
      <c r="E78" s="2"/>
      <c r="G78" s="12"/>
      <c r="H78" s="12"/>
      <c r="M78" s="474"/>
      <c r="N78" s="474"/>
      <c r="O78" s="474"/>
      <c r="P78" s="474"/>
      <c r="Q78" s="474"/>
      <c r="R78" s="474"/>
      <c r="S78" s="474"/>
      <c r="T78" s="474"/>
      <c r="U78" s="474"/>
      <c r="V78" s="474"/>
      <c r="W78" s="474"/>
      <c r="X78" s="474"/>
      <c r="Y78" s="474"/>
    </row>
    <row r="79" spans="1:25" s="6" customFormat="1" x14ac:dyDescent="0.2">
      <c r="A79" s="8"/>
      <c r="B79" s="8"/>
      <c r="C79" s="8"/>
      <c r="D79" s="8"/>
      <c r="E79" s="2"/>
      <c r="G79" s="12"/>
      <c r="H79" s="12"/>
      <c r="M79" s="474"/>
      <c r="N79" s="474"/>
      <c r="O79" s="474"/>
      <c r="P79" s="474"/>
      <c r="Q79" s="474"/>
      <c r="R79" s="474"/>
      <c r="S79" s="474"/>
      <c r="T79" s="474"/>
      <c r="U79" s="474"/>
      <c r="V79" s="474"/>
      <c r="W79" s="474"/>
      <c r="X79" s="474"/>
      <c r="Y79" s="474"/>
    </row>
    <row r="80" spans="1:25" s="6" customFormat="1" x14ac:dyDescent="0.2">
      <c r="A80" s="8"/>
      <c r="B80" s="8"/>
      <c r="C80" s="8"/>
      <c r="D80" s="8"/>
      <c r="E80" s="2"/>
      <c r="G80" s="12"/>
      <c r="H80" s="12"/>
      <c r="M80" s="474"/>
      <c r="N80" s="474"/>
      <c r="O80" s="474"/>
      <c r="P80" s="474"/>
      <c r="Q80" s="474"/>
      <c r="R80" s="474"/>
      <c r="S80" s="474"/>
      <c r="T80" s="474"/>
      <c r="U80" s="474"/>
      <c r="V80" s="474"/>
      <c r="W80" s="474"/>
      <c r="X80" s="474"/>
      <c r="Y80" s="474"/>
    </row>
    <row r="81" spans="1:25" s="6" customFormat="1" x14ac:dyDescent="0.2">
      <c r="A81" s="8"/>
      <c r="B81" s="8"/>
      <c r="C81" s="8"/>
      <c r="D81" s="8"/>
      <c r="E81" s="2"/>
      <c r="G81" s="12"/>
      <c r="H81" s="12"/>
      <c r="M81" s="474"/>
      <c r="N81" s="474"/>
      <c r="O81" s="474"/>
      <c r="P81" s="474"/>
      <c r="Q81" s="474"/>
      <c r="R81" s="474"/>
      <c r="S81" s="474"/>
      <c r="T81" s="474"/>
      <c r="U81" s="474"/>
      <c r="V81" s="474"/>
      <c r="W81" s="474"/>
      <c r="X81" s="474"/>
      <c r="Y81" s="474"/>
    </row>
    <row r="82" spans="1:25" s="6" customFormat="1" x14ac:dyDescent="0.2">
      <c r="A82" s="8"/>
      <c r="B82" s="8"/>
      <c r="C82" s="8"/>
      <c r="D82" s="8"/>
      <c r="E82" s="2"/>
      <c r="G82" s="12"/>
      <c r="H82" s="12"/>
      <c r="M82" s="474"/>
      <c r="N82" s="474"/>
      <c r="O82" s="474"/>
      <c r="P82" s="474"/>
      <c r="Q82" s="474"/>
      <c r="R82" s="474"/>
      <c r="S82" s="474"/>
      <c r="T82" s="474"/>
      <c r="U82" s="474"/>
      <c r="V82" s="474"/>
      <c r="W82" s="474"/>
      <c r="X82" s="474"/>
      <c r="Y82" s="474"/>
    </row>
    <row r="83" spans="1:25" s="6" customFormat="1" x14ac:dyDescent="0.2">
      <c r="A83" s="8"/>
      <c r="B83" s="8"/>
      <c r="C83" s="8"/>
      <c r="D83" s="8"/>
      <c r="E83" s="2"/>
      <c r="G83" s="12"/>
      <c r="H83" s="12"/>
      <c r="M83" s="474"/>
      <c r="N83" s="474"/>
      <c r="O83" s="474"/>
      <c r="P83" s="474"/>
      <c r="Q83" s="474"/>
      <c r="R83" s="474"/>
      <c r="S83" s="474"/>
      <c r="T83" s="474"/>
      <c r="U83" s="474"/>
      <c r="V83" s="474"/>
      <c r="W83" s="474"/>
      <c r="X83" s="474"/>
      <c r="Y83" s="474"/>
    </row>
    <row r="84" spans="1:25" s="6" customFormat="1" x14ac:dyDescent="0.2">
      <c r="A84" s="8"/>
      <c r="B84" s="8"/>
      <c r="C84" s="8"/>
      <c r="D84" s="8"/>
      <c r="E84" s="2"/>
      <c r="G84" s="12"/>
      <c r="H84" s="12"/>
      <c r="M84" s="474"/>
      <c r="N84" s="474"/>
      <c r="O84" s="474"/>
      <c r="P84" s="474"/>
      <c r="Q84" s="474"/>
      <c r="R84" s="474"/>
      <c r="S84" s="474"/>
      <c r="T84" s="474"/>
      <c r="U84" s="474"/>
      <c r="V84" s="474"/>
      <c r="W84" s="474"/>
      <c r="X84" s="474"/>
      <c r="Y84" s="474"/>
    </row>
    <row r="85" spans="1:25" s="6" customFormat="1" x14ac:dyDescent="0.2">
      <c r="A85" s="8"/>
      <c r="B85" s="8"/>
      <c r="C85" s="8"/>
      <c r="D85" s="8"/>
      <c r="E85" s="2"/>
      <c r="G85" s="12"/>
      <c r="H85" s="12"/>
      <c r="M85" s="474"/>
      <c r="N85" s="474"/>
      <c r="O85" s="474"/>
      <c r="P85" s="474"/>
      <c r="Q85" s="474"/>
      <c r="R85" s="474"/>
      <c r="S85" s="474"/>
      <c r="T85" s="474"/>
      <c r="U85" s="474"/>
      <c r="V85" s="474"/>
      <c r="W85" s="474"/>
      <c r="X85" s="474"/>
      <c r="Y85" s="474"/>
    </row>
    <row r="86" spans="1:25" s="6" customFormat="1" x14ac:dyDescent="0.2">
      <c r="A86" s="8"/>
      <c r="B86" s="8"/>
      <c r="C86" s="8"/>
      <c r="D86" s="8"/>
      <c r="E86" s="2"/>
      <c r="G86" s="12"/>
      <c r="H86" s="12"/>
      <c r="M86" s="474"/>
      <c r="N86" s="474"/>
      <c r="O86" s="474"/>
      <c r="P86" s="474"/>
      <c r="Q86" s="474"/>
      <c r="R86" s="474"/>
      <c r="S86" s="474"/>
      <c r="T86" s="474"/>
      <c r="U86" s="474"/>
      <c r="V86" s="474"/>
      <c r="W86" s="474"/>
      <c r="X86" s="474"/>
      <c r="Y86" s="474"/>
    </row>
    <row r="87" spans="1:25" s="6" customFormat="1" x14ac:dyDescent="0.2">
      <c r="A87" s="8"/>
      <c r="B87" s="8"/>
      <c r="C87" s="8"/>
      <c r="D87" s="8"/>
      <c r="E87" s="2"/>
      <c r="G87" s="12"/>
      <c r="H87" s="12"/>
      <c r="M87" s="474"/>
      <c r="N87" s="474"/>
      <c r="O87" s="474"/>
      <c r="P87" s="474"/>
      <c r="Q87" s="474"/>
      <c r="R87" s="474"/>
      <c r="S87" s="474"/>
      <c r="T87" s="474"/>
      <c r="U87" s="474"/>
      <c r="V87" s="474"/>
      <c r="W87" s="474"/>
      <c r="X87" s="474"/>
      <c r="Y87" s="474"/>
    </row>
    <row r="88" spans="1:25" s="6" customFormat="1" x14ac:dyDescent="0.2">
      <c r="A88" s="8"/>
      <c r="B88" s="8"/>
      <c r="C88" s="8"/>
      <c r="D88" s="8"/>
      <c r="E88" s="2"/>
      <c r="G88" s="12"/>
      <c r="H88" s="12"/>
      <c r="M88" s="474"/>
      <c r="N88" s="474"/>
      <c r="O88" s="474"/>
      <c r="P88" s="474"/>
      <c r="Q88" s="474"/>
      <c r="R88" s="474"/>
      <c r="S88" s="474"/>
      <c r="T88" s="474"/>
      <c r="U88" s="474"/>
      <c r="V88" s="474"/>
      <c r="W88" s="474"/>
      <c r="X88" s="474"/>
      <c r="Y88" s="474"/>
    </row>
    <row r="89" spans="1:25" s="6" customFormat="1" x14ac:dyDescent="0.2">
      <c r="A89" s="8"/>
      <c r="B89" s="8"/>
      <c r="C89" s="8"/>
      <c r="D89" s="8"/>
      <c r="E89" s="2"/>
      <c r="G89" s="12"/>
      <c r="H89" s="12"/>
      <c r="M89" s="474"/>
      <c r="N89" s="474"/>
      <c r="O89" s="474"/>
      <c r="P89" s="474"/>
      <c r="Q89" s="474"/>
      <c r="R89" s="474"/>
      <c r="S89" s="474"/>
      <c r="T89" s="474"/>
      <c r="U89" s="474"/>
      <c r="V89" s="474"/>
      <c r="W89" s="474"/>
      <c r="X89" s="474"/>
      <c r="Y89" s="474"/>
    </row>
    <row r="90" spans="1:25" s="6" customFormat="1" x14ac:dyDescent="0.2">
      <c r="A90" s="8"/>
      <c r="B90" s="8"/>
      <c r="C90" s="8"/>
      <c r="D90" s="8"/>
      <c r="E90" s="2"/>
      <c r="G90" s="12"/>
      <c r="H90" s="12"/>
      <c r="M90" s="474"/>
      <c r="N90" s="474"/>
      <c r="O90" s="474"/>
      <c r="P90" s="474"/>
      <c r="Q90" s="474"/>
      <c r="R90" s="474"/>
      <c r="S90" s="474"/>
      <c r="T90" s="474"/>
      <c r="U90" s="474"/>
      <c r="V90" s="474"/>
      <c r="W90" s="474"/>
      <c r="X90" s="474"/>
      <c r="Y90" s="474"/>
    </row>
    <row r="91" spans="1:25" s="6" customFormat="1" x14ac:dyDescent="0.2">
      <c r="A91" s="8"/>
      <c r="B91" s="8"/>
      <c r="C91" s="8"/>
      <c r="D91" s="8"/>
      <c r="E91" s="2"/>
      <c r="G91" s="12"/>
      <c r="H91" s="12"/>
      <c r="M91" s="474"/>
      <c r="N91" s="474"/>
      <c r="O91" s="474"/>
      <c r="P91" s="474"/>
      <c r="Q91" s="474"/>
      <c r="R91" s="474"/>
      <c r="S91" s="474"/>
      <c r="T91" s="474"/>
      <c r="U91" s="474"/>
      <c r="V91" s="474"/>
      <c r="W91" s="474"/>
      <c r="X91" s="474"/>
      <c r="Y91" s="474"/>
    </row>
    <row r="92" spans="1:25" s="6" customFormat="1" x14ac:dyDescent="0.2">
      <c r="A92" s="8"/>
      <c r="B92" s="8"/>
      <c r="C92" s="8"/>
      <c r="D92" s="8"/>
      <c r="E92" s="2"/>
      <c r="G92" s="12"/>
      <c r="H92" s="12"/>
      <c r="M92" s="474"/>
      <c r="N92" s="474"/>
      <c r="O92" s="474"/>
      <c r="P92" s="474"/>
      <c r="Q92" s="474"/>
      <c r="R92" s="474"/>
      <c r="S92" s="474"/>
      <c r="T92" s="474"/>
      <c r="U92" s="474"/>
      <c r="V92" s="474"/>
      <c r="W92" s="474"/>
      <c r="X92" s="474"/>
      <c r="Y92" s="474"/>
    </row>
    <row r="93" spans="1:25" s="6" customFormat="1" x14ac:dyDescent="0.2">
      <c r="A93" s="8"/>
      <c r="B93" s="8"/>
      <c r="C93" s="8"/>
      <c r="D93" s="8"/>
      <c r="E93" s="2"/>
      <c r="G93" s="12"/>
      <c r="H93" s="12"/>
      <c r="M93" s="474"/>
      <c r="N93" s="474"/>
      <c r="O93" s="474"/>
      <c r="P93" s="474"/>
      <c r="Q93" s="474"/>
      <c r="R93" s="474"/>
      <c r="S93" s="474"/>
      <c r="T93" s="474"/>
      <c r="U93" s="474"/>
      <c r="V93" s="474"/>
      <c r="W93" s="474"/>
      <c r="X93" s="474"/>
      <c r="Y93" s="474"/>
    </row>
    <row r="94" spans="1:25" s="6" customFormat="1" x14ac:dyDescent="0.2">
      <c r="A94" s="8"/>
      <c r="B94" s="8"/>
      <c r="C94" s="8"/>
      <c r="D94" s="8"/>
      <c r="E94" s="2"/>
      <c r="G94" s="12"/>
      <c r="H94" s="12"/>
      <c r="M94" s="474"/>
      <c r="N94" s="474"/>
      <c r="O94" s="474"/>
      <c r="P94" s="474"/>
      <c r="Q94" s="474"/>
      <c r="R94" s="474"/>
      <c r="S94" s="474"/>
      <c r="T94" s="474"/>
      <c r="U94" s="474"/>
      <c r="V94" s="474"/>
      <c r="W94" s="474"/>
      <c r="X94" s="474"/>
      <c r="Y94" s="474"/>
    </row>
    <row r="95" spans="1:25" s="6" customFormat="1" x14ac:dyDescent="0.2">
      <c r="A95" s="8"/>
      <c r="B95" s="8"/>
      <c r="C95" s="8"/>
      <c r="D95" s="8"/>
      <c r="E95" s="2"/>
      <c r="G95" s="12"/>
      <c r="H95" s="12"/>
      <c r="M95" s="474"/>
      <c r="N95" s="474"/>
      <c r="O95" s="474"/>
      <c r="P95" s="474"/>
      <c r="Q95" s="474"/>
      <c r="R95" s="474"/>
      <c r="S95" s="474"/>
      <c r="T95" s="474"/>
      <c r="U95" s="474"/>
      <c r="V95" s="474"/>
      <c r="W95" s="474"/>
      <c r="X95" s="474"/>
      <c r="Y95" s="474"/>
    </row>
    <row r="96" spans="1:25" s="6" customFormat="1" x14ac:dyDescent="0.2">
      <c r="A96" s="8"/>
      <c r="B96" s="8"/>
      <c r="C96" s="8"/>
      <c r="D96" s="8"/>
      <c r="E96" s="2"/>
      <c r="G96" s="12"/>
      <c r="H96" s="12"/>
      <c r="M96" s="474"/>
      <c r="N96" s="474"/>
      <c r="O96" s="474"/>
      <c r="P96" s="474"/>
      <c r="Q96" s="474"/>
      <c r="R96" s="474"/>
      <c r="S96" s="474"/>
      <c r="T96" s="474"/>
      <c r="U96" s="474"/>
      <c r="V96" s="474"/>
      <c r="W96" s="474"/>
      <c r="X96" s="474"/>
      <c r="Y96" s="474"/>
    </row>
    <row r="97" spans="1:25" s="6" customFormat="1" x14ac:dyDescent="0.2">
      <c r="A97" s="8"/>
      <c r="B97" s="8"/>
      <c r="C97" s="8"/>
      <c r="D97" s="8"/>
      <c r="E97" s="2"/>
      <c r="G97" s="12"/>
      <c r="H97" s="12"/>
      <c r="M97" s="474"/>
      <c r="N97" s="474"/>
      <c r="O97" s="474"/>
      <c r="P97" s="474"/>
      <c r="Q97" s="474"/>
      <c r="R97" s="474"/>
      <c r="S97" s="474"/>
      <c r="T97" s="474"/>
      <c r="U97" s="474"/>
      <c r="V97" s="474"/>
      <c r="W97" s="474"/>
      <c r="X97" s="474"/>
      <c r="Y97" s="474"/>
    </row>
    <row r="98" spans="1:25" s="6" customFormat="1" x14ac:dyDescent="0.2">
      <c r="A98" s="8"/>
      <c r="B98" s="8"/>
      <c r="C98" s="8"/>
      <c r="D98" s="8"/>
      <c r="E98" s="2"/>
      <c r="G98" s="12"/>
      <c r="H98" s="12"/>
      <c r="M98" s="474"/>
      <c r="N98" s="474"/>
      <c r="O98" s="474"/>
      <c r="P98" s="474"/>
      <c r="Q98" s="474"/>
      <c r="R98" s="474"/>
      <c r="S98" s="474"/>
      <c r="T98" s="474"/>
      <c r="U98" s="474"/>
      <c r="V98" s="474"/>
      <c r="W98" s="474"/>
      <c r="X98" s="474"/>
      <c r="Y98" s="474"/>
    </row>
    <row r="99" spans="1:25" s="6" customFormat="1" x14ac:dyDescent="0.2">
      <c r="A99" s="8"/>
      <c r="B99" s="8"/>
      <c r="C99" s="8"/>
      <c r="D99" s="8"/>
      <c r="E99" s="2"/>
      <c r="G99" s="12"/>
      <c r="H99" s="12"/>
      <c r="M99" s="474"/>
      <c r="N99" s="474"/>
      <c r="O99" s="474"/>
      <c r="P99" s="474"/>
      <c r="Q99" s="474"/>
      <c r="R99" s="474"/>
      <c r="S99" s="474"/>
      <c r="T99" s="474"/>
      <c r="U99" s="474"/>
      <c r="V99" s="474"/>
      <c r="W99" s="474"/>
      <c r="X99" s="474"/>
      <c r="Y99" s="474"/>
    </row>
    <row r="100" spans="1:25" s="6" customFormat="1" x14ac:dyDescent="0.2">
      <c r="A100" s="8"/>
      <c r="B100" s="8"/>
      <c r="C100" s="8"/>
      <c r="D100" s="8"/>
      <c r="E100" s="2"/>
      <c r="G100" s="12"/>
      <c r="H100" s="12"/>
      <c r="M100" s="474"/>
      <c r="N100" s="474"/>
      <c r="O100" s="474"/>
      <c r="P100" s="474"/>
      <c r="Q100" s="474"/>
      <c r="R100" s="474"/>
      <c r="S100" s="474"/>
      <c r="T100" s="474"/>
      <c r="U100" s="474"/>
      <c r="V100" s="474"/>
      <c r="W100" s="474"/>
      <c r="X100" s="474"/>
      <c r="Y100" s="474"/>
    </row>
    <row r="101" spans="1:25" s="6" customFormat="1" x14ac:dyDescent="0.2">
      <c r="A101" s="8"/>
      <c r="B101" s="8"/>
      <c r="C101" s="8"/>
      <c r="D101" s="8"/>
      <c r="E101" s="2"/>
      <c r="G101" s="12"/>
      <c r="H101" s="12"/>
      <c r="M101" s="474"/>
      <c r="N101" s="474"/>
      <c r="O101" s="474"/>
      <c r="P101" s="474"/>
      <c r="Q101" s="474"/>
      <c r="R101" s="474"/>
      <c r="S101" s="474"/>
      <c r="T101" s="474"/>
      <c r="U101" s="474"/>
      <c r="V101" s="474"/>
      <c r="W101" s="474"/>
      <c r="X101" s="474"/>
      <c r="Y101" s="474"/>
    </row>
    <row r="102" spans="1:25" s="6" customFormat="1" x14ac:dyDescent="0.2">
      <c r="A102" s="8"/>
      <c r="B102" s="8"/>
      <c r="C102" s="8"/>
      <c r="D102" s="8"/>
      <c r="E102" s="2"/>
      <c r="G102" s="12"/>
      <c r="H102" s="12"/>
      <c r="M102" s="474"/>
      <c r="N102" s="474"/>
      <c r="O102" s="474"/>
      <c r="P102" s="474"/>
      <c r="Q102" s="474"/>
      <c r="R102" s="474"/>
      <c r="S102" s="474"/>
      <c r="T102" s="474"/>
      <c r="U102" s="474"/>
      <c r="V102" s="474"/>
      <c r="W102" s="474"/>
      <c r="X102" s="474"/>
      <c r="Y102" s="474"/>
    </row>
    <row r="103" spans="1:25" s="6" customFormat="1" x14ac:dyDescent="0.2">
      <c r="A103" s="8"/>
      <c r="B103" s="8"/>
      <c r="C103" s="8"/>
      <c r="D103" s="8"/>
      <c r="E103" s="2"/>
      <c r="G103" s="12"/>
      <c r="H103" s="12"/>
      <c r="M103" s="474"/>
      <c r="N103" s="474"/>
      <c r="O103" s="474"/>
      <c r="P103" s="474"/>
      <c r="Q103" s="474"/>
      <c r="R103" s="474"/>
      <c r="S103" s="474"/>
      <c r="T103" s="474"/>
      <c r="U103" s="474"/>
      <c r="V103" s="474"/>
      <c r="W103" s="474"/>
      <c r="X103" s="474"/>
      <c r="Y103" s="474"/>
    </row>
    <row r="104" spans="1:25" s="6" customFormat="1" x14ac:dyDescent="0.2">
      <c r="A104" s="8"/>
      <c r="B104" s="8"/>
      <c r="C104" s="8"/>
      <c r="D104" s="8"/>
      <c r="E104" s="2"/>
      <c r="G104" s="12"/>
      <c r="H104" s="12"/>
      <c r="M104" s="474"/>
      <c r="N104" s="474"/>
      <c r="O104" s="474"/>
      <c r="P104" s="474"/>
      <c r="Q104" s="474"/>
      <c r="R104" s="474"/>
      <c r="S104" s="474"/>
      <c r="T104" s="474"/>
      <c r="U104" s="474"/>
      <c r="V104" s="474"/>
      <c r="W104" s="474"/>
      <c r="X104" s="474"/>
      <c r="Y104" s="474"/>
    </row>
    <row r="105" spans="1:25" s="6" customFormat="1" x14ac:dyDescent="0.2">
      <c r="A105" s="8"/>
      <c r="B105" s="8"/>
      <c r="C105" s="8"/>
      <c r="D105" s="8"/>
      <c r="E105" s="2"/>
      <c r="G105" s="12"/>
      <c r="H105" s="12"/>
      <c r="M105" s="474"/>
      <c r="N105" s="474"/>
      <c r="O105" s="474"/>
      <c r="P105" s="474"/>
      <c r="Q105" s="474"/>
      <c r="R105" s="474"/>
      <c r="S105" s="474"/>
      <c r="T105" s="474"/>
      <c r="U105" s="474"/>
      <c r="V105" s="474"/>
      <c r="W105" s="474"/>
      <c r="X105" s="474"/>
      <c r="Y105" s="474"/>
    </row>
    <row r="106" spans="1:25" s="6" customFormat="1" x14ac:dyDescent="0.2">
      <c r="A106" s="8"/>
      <c r="B106" s="8"/>
      <c r="C106" s="8"/>
      <c r="D106" s="8"/>
      <c r="E106" s="2"/>
      <c r="G106" s="12"/>
      <c r="H106" s="12"/>
      <c r="M106" s="474"/>
      <c r="N106" s="474"/>
      <c r="O106" s="474"/>
      <c r="P106" s="474"/>
      <c r="Q106" s="474"/>
      <c r="R106" s="474"/>
      <c r="S106" s="474"/>
      <c r="T106" s="474"/>
      <c r="U106" s="474"/>
      <c r="V106" s="474"/>
      <c r="W106" s="474"/>
      <c r="X106" s="474"/>
      <c r="Y106" s="474"/>
    </row>
    <row r="107" spans="1:25" s="6" customFormat="1" x14ac:dyDescent="0.2">
      <c r="A107" s="8"/>
      <c r="B107" s="8"/>
      <c r="C107" s="8"/>
      <c r="D107" s="8"/>
      <c r="E107" s="2"/>
      <c r="G107" s="12"/>
      <c r="H107" s="12"/>
      <c r="M107" s="474"/>
      <c r="N107" s="474"/>
      <c r="O107" s="474"/>
      <c r="P107" s="474"/>
      <c r="Q107" s="474"/>
      <c r="R107" s="474"/>
      <c r="S107" s="474"/>
      <c r="T107" s="474"/>
      <c r="U107" s="474"/>
      <c r="V107" s="474"/>
      <c r="W107" s="474"/>
      <c r="X107" s="474"/>
      <c r="Y107" s="474"/>
    </row>
    <row r="108" spans="1:25" s="6" customFormat="1" x14ac:dyDescent="0.2">
      <c r="A108" s="8"/>
      <c r="B108" s="8"/>
      <c r="C108" s="8"/>
      <c r="D108" s="8"/>
      <c r="E108" s="2"/>
      <c r="G108" s="12"/>
      <c r="H108" s="12"/>
      <c r="M108" s="474"/>
      <c r="N108" s="474"/>
      <c r="O108" s="474"/>
      <c r="P108" s="474"/>
      <c r="Q108" s="474"/>
      <c r="R108" s="474"/>
      <c r="S108" s="474"/>
      <c r="T108" s="474"/>
      <c r="U108" s="474"/>
      <c r="V108" s="474"/>
      <c r="W108" s="474"/>
      <c r="X108" s="474"/>
      <c r="Y108" s="474"/>
    </row>
    <row r="109" spans="1:25" s="6" customFormat="1" x14ac:dyDescent="0.2">
      <c r="A109" s="8"/>
      <c r="B109" s="8"/>
      <c r="C109" s="8"/>
      <c r="D109" s="8"/>
      <c r="E109" s="2"/>
      <c r="G109" s="12"/>
      <c r="H109" s="12"/>
      <c r="M109" s="474"/>
      <c r="N109" s="474"/>
      <c r="O109" s="474"/>
      <c r="P109" s="474"/>
      <c r="Q109" s="474"/>
      <c r="R109" s="474"/>
      <c r="S109" s="474"/>
      <c r="T109" s="474"/>
      <c r="U109" s="474"/>
      <c r="V109" s="474"/>
      <c r="W109" s="474"/>
      <c r="X109" s="474"/>
      <c r="Y109" s="474"/>
    </row>
    <row r="110" spans="1:25" s="6" customFormat="1" x14ac:dyDescent="0.2">
      <c r="A110" s="8"/>
      <c r="B110" s="8"/>
      <c r="C110" s="8"/>
      <c r="D110" s="8"/>
      <c r="E110" s="2"/>
      <c r="G110" s="12"/>
      <c r="H110" s="12"/>
      <c r="M110" s="474"/>
      <c r="N110" s="474"/>
      <c r="O110" s="474"/>
      <c r="P110" s="474"/>
      <c r="Q110" s="474"/>
      <c r="R110" s="474"/>
      <c r="S110" s="474"/>
      <c r="T110" s="474"/>
      <c r="U110" s="474"/>
      <c r="V110" s="474"/>
      <c r="W110" s="474"/>
      <c r="X110" s="474"/>
      <c r="Y110" s="474"/>
    </row>
    <row r="111" spans="1:25" s="6" customFormat="1" x14ac:dyDescent="0.2">
      <c r="A111" s="8"/>
      <c r="B111" s="8"/>
      <c r="C111" s="8"/>
      <c r="D111" s="8"/>
      <c r="E111" s="2"/>
      <c r="G111" s="12"/>
      <c r="H111" s="12"/>
      <c r="M111" s="474"/>
      <c r="N111" s="474"/>
      <c r="O111" s="474"/>
      <c r="P111" s="474"/>
      <c r="Q111" s="474"/>
      <c r="R111" s="474"/>
      <c r="S111" s="474"/>
      <c r="T111" s="474"/>
      <c r="U111" s="474"/>
      <c r="V111" s="474"/>
      <c r="W111" s="474"/>
      <c r="X111" s="474"/>
      <c r="Y111" s="474"/>
    </row>
    <row r="112" spans="1:25" s="6" customFormat="1" x14ac:dyDescent="0.2">
      <c r="A112" s="8"/>
      <c r="B112" s="8"/>
      <c r="C112" s="8"/>
      <c r="D112" s="8"/>
      <c r="E112" s="2"/>
      <c r="G112" s="12"/>
      <c r="H112" s="12"/>
      <c r="M112" s="474"/>
      <c r="N112" s="474"/>
      <c r="O112" s="474"/>
      <c r="P112" s="474"/>
      <c r="Q112" s="474"/>
      <c r="R112" s="474"/>
      <c r="S112" s="474"/>
      <c r="T112" s="474"/>
      <c r="U112" s="474"/>
      <c r="V112" s="474"/>
      <c r="W112" s="474"/>
      <c r="X112" s="474"/>
      <c r="Y112" s="474"/>
    </row>
    <row r="113" spans="1:25" s="6" customFormat="1" x14ac:dyDescent="0.2">
      <c r="A113" s="8"/>
      <c r="B113" s="8"/>
      <c r="C113" s="8"/>
      <c r="D113" s="8"/>
      <c r="E113" s="2"/>
      <c r="G113" s="12"/>
      <c r="H113" s="12"/>
      <c r="M113" s="474"/>
      <c r="N113" s="474"/>
      <c r="O113" s="474"/>
      <c r="P113" s="474"/>
      <c r="Q113" s="474"/>
      <c r="R113" s="474"/>
      <c r="S113" s="474"/>
      <c r="T113" s="474"/>
      <c r="U113" s="474"/>
      <c r="V113" s="474"/>
      <c r="W113" s="474"/>
      <c r="X113" s="474"/>
      <c r="Y113" s="474"/>
    </row>
    <row r="114" spans="1:25" s="6" customFormat="1" x14ac:dyDescent="0.2">
      <c r="A114" s="8"/>
      <c r="B114" s="8"/>
      <c r="C114" s="8"/>
      <c r="D114" s="8"/>
      <c r="E114" s="2"/>
      <c r="G114" s="12"/>
      <c r="H114" s="12"/>
      <c r="M114" s="474"/>
      <c r="N114" s="474"/>
      <c r="O114" s="474"/>
      <c r="P114" s="474"/>
      <c r="Q114" s="474"/>
      <c r="R114" s="474"/>
      <c r="S114" s="474"/>
      <c r="T114" s="474"/>
      <c r="U114" s="474"/>
      <c r="V114" s="474"/>
      <c r="W114" s="474"/>
      <c r="X114" s="474"/>
      <c r="Y114" s="474"/>
    </row>
    <row r="115" spans="1:25" s="6" customFormat="1" x14ac:dyDescent="0.2">
      <c r="A115" s="8"/>
      <c r="B115" s="8"/>
      <c r="C115" s="8"/>
      <c r="D115" s="8"/>
      <c r="E115" s="2"/>
      <c r="G115" s="12"/>
      <c r="H115" s="12"/>
      <c r="M115" s="474"/>
      <c r="N115" s="474"/>
      <c r="O115" s="474"/>
      <c r="P115" s="474"/>
      <c r="Q115" s="474"/>
      <c r="R115" s="474"/>
      <c r="S115" s="474"/>
      <c r="T115" s="474"/>
      <c r="U115" s="474"/>
      <c r="V115" s="474"/>
      <c r="W115" s="474"/>
      <c r="X115" s="474"/>
      <c r="Y115" s="474"/>
    </row>
    <row r="116" spans="1:25" s="6" customFormat="1" x14ac:dyDescent="0.2">
      <c r="A116" s="8"/>
      <c r="B116" s="8"/>
      <c r="C116" s="8"/>
      <c r="D116" s="8"/>
      <c r="E116" s="2"/>
      <c r="G116" s="12"/>
      <c r="H116" s="12"/>
      <c r="M116" s="474"/>
      <c r="N116" s="474"/>
      <c r="O116" s="474"/>
      <c r="P116" s="474"/>
      <c r="Q116" s="474"/>
      <c r="R116" s="474"/>
      <c r="S116" s="474"/>
      <c r="T116" s="474"/>
      <c r="U116" s="474"/>
      <c r="V116" s="474"/>
      <c r="W116" s="474"/>
      <c r="X116" s="474"/>
      <c r="Y116" s="474"/>
    </row>
    <row r="117" spans="1:25" s="6" customFormat="1" x14ac:dyDescent="0.2">
      <c r="A117" s="8"/>
      <c r="B117" s="8"/>
      <c r="C117" s="8"/>
      <c r="D117" s="8"/>
      <c r="E117" s="2"/>
      <c r="G117" s="12"/>
      <c r="H117" s="12"/>
      <c r="M117" s="474"/>
      <c r="N117" s="474"/>
      <c r="O117" s="474"/>
      <c r="P117" s="474"/>
      <c r="Q117" s="474"/>
      <c r="R117" s="474"/>
      <c r="S117" s="474"/>
      <c r="T117" s="474"/>
      <c r="U117" s="474"/>
      <c r="V117" s="474"/>
      <c r="W117" s="474"/>
      <c r="X117" s="474"/>
      <c r="Y117" s="474"/>
    </row>
    <row r="118" spans="1:25" s="6" customFormat="1" x14ac:dyDescent="0.2">
      <c r="A118" s="8"/>
      <c r="B118" s="8"/>
      <c r="C118" s="8"/>
      <c r="D118" s="8"/>
      <c r="E118" s="2"/>
      <c r="G118" s="12"/>
      <c r="H118" s="12"/>
      <c r="M118" s="474"/>
      <c r="N118" s="474"/>
      <c r="O118" s="474"/>
      <c r="P118" s="474"/>
      <c r="Q118" s="474"/>
      <c r="R118" s="474"/>
      <c r="S118" s="474"/>
      <c r="T118" s="474"/>
      <c r="U118" s="474"/>
      <c r="V118" s="474"/>
      <c r="W118" s="474"/>
      <c r="X118" s="474"/>
      <c r="Y118" s="474"/>
    </row>
    <row r="119" spans="1:25" s="6" customFormat="1" x14ac:dyDescent="0.2">
      <c r="A119" s="8"/>
      <c r="B119" s="8"/>
      <c r="C119" s="8"/>
      <c r="D119" s="8"/>
      <c r="E119" s="2"/>
      <c r="G119" s="12"/>
      <c r="H119" s="12"/>
      <c r="M119" s="474"/>
      <c r="N119" s="474"/>
      <c r="O119" s="474"/>
      <c r="P119" s="474"/>
      <c r="Q119" s="474"/>
      <c r="R119" s="474"/>
      <c r="S119" s="474"/>
      <c r="T119" s="474"/>
      <c r="U119" s="474"/>
      <c r="V119" s="474"/>
      <c r="W119" s="474"/>
      <c r="X119" s="474"/>
      <c r="Y119" s="474"/>
    </row>
    <row r="120" spans="1:25" s="6" customFormat="1" x14ac:dyDescent="0.2">
      <c r="A120" s="8"/>
      <c r="B120" s="8"/>
      <c r="C120" s="8"/>
      <c r="D120" s="8"/>
      <c r="E120" s="2"/>
      <c r="G120" s="12"/>
      <c r="H120" s="12"/>
      <c r="M120" s="474"/>
      <c r="N120" s="474"/>
      <c r="O120" s="474"/>
      <c r="P120" s="474"/>
      <c r="Q120" s="474"/>
      <c r="R120" s="474"/>
      <c r="S120" s="474"/>
      <c r="T120" s="474"/>
      <c r="U120" s="474"/>
      <c r="V120" s="474"/>
      <c r="W120" s="474"/>
      <c r="X120" s="474"/>
      <c r="Y120" s="474"/>
    </row>
    <row r="121" spans="1:25" x14ac:dyDescent="0.2">
      <c r="E121" s="2"/>
    </row>
    <row r="122" spans="1:25" x14ac:dyDescent="0.2">
      <c r="E122" s="2"/>
    </row>
    <row r="123" spans="1:25" x14ac:dyDescent="0.2">
      <c r="E123" s="2"/>
    </row>
    <row r="124" spans="1:25" x14ac:dyDescent="0.2">
      <c r="E124" s="2"/>
    </row>
    <row r="125" spans="1:25" x14ac:dyDescent="0.2">
      <c r="E125" s="2"/>
    </row>
    <row r="126" spans="1:25" x14ac:dyDescent="0.2">
      <c r="E126" s="2"/>
    </row>
    <row r="127" spans="1:25" x14ac:dyDescent="0.2">
      <c r="E127" s="2"/>
    </row>
    <row r="128" spans="1:25" x14ac:dyDescent="0.2">
      <c r="E128" s="2"/>
    </row>
    <row r="129" spans="1:25" s="6" customFormat="1" x14ac:dyDescent="0.2">
      <c r="A129" s="8"/>
      <c r="B129" s="8"/>
      <c r="C129" s="8"/>
      <c r="D129" s="8"/>
      <c r="E129" s="2"/>
      <c r="G129" s="12"/>
      <c r="H129" s="12"/>
      <c r="I129" s="12"/>
      <c r="J129" s="12"/>
      <c r="K129" s="12"/>
      <c r="M129" s="474"/>
      <c r="N129" s="474"/>
      <c r="O129" s="474"/>
      <c r="P129" s="474"/>
      <c r="Q129" s="474"/>
      <c r="R129" s="474"/>
      <c r="S129" s="474"/>
      <c r="T129" s="474"/>
      <c r="U129" s="474"/>
      <c r="V129" s="474"/>
      <c r="W129" s="474"/>
      <c r="X129" s="474"/>
      <c r="Y129" s="474"/>
    </row>
    <row r="130" spans="1:25" s="6" customFormat="1" x14ac:dyDescent="0.2">
      <c r="A130" s="8"/>
      <c r="B130" s="8"/>
      <c r="C130" s="8"/>
      <c r="D130" s="8"/>
      <c r="E130" s="2"/>
      <c r="G130" s="12"/>
      <c r="H130" s="12"/>
      <c r="I130" s="12"/>
      <c r="J130" s="12"/>
      <c r="K130" s="12"/>
      <c r="M130" s="474"/>
      <c r="N130" s="474"/>
      <c r="O130" s="474"/>
      <c r="P130" s="474"/>
      <c r="Q130" s="474"/>
      <c r="R130" s="474"/>
      <c r="S130" s="474"/>
      <c r="T130" s="474"/>
      <c r="U130" s="474"/>
      <c r="V130" s="474"/>
      <c r="W130" s="474"/>
      <c r="X130" s="474"/>
      <c r="Y130" s="474"/>
    </row>
    <row r="131" spans="1:25" s="6" customFormat="1" x14ac:dyDescent="0.2">
      <c r="A131" s="8"/>
      <c r="B131" s="8"/>
      <c r="C131" s="8"/>
      <c r="D131" s="8"/>
      <c r="E131" s="2"/>
      <c r="G131" s="12"/>
      <c r="H131" s="12"/>
      <c r="I131" s="12"/>
      <c r="J131" s="12"/>
      <c r="K131" s="12"/>
      <c r="M131" s="474"/>
      <c r="N131" s="474"/>
      <c r="O131" s="474"/>
      <c r="P131" s="474"/>
      <c r="Q131" s="474"/>
      <c r="R131" s="474"/>
      <c r="S131" s="474"/>
      <c r="T131" s="474"/>
      <c r="U131" s="474"/>
      <c r="V131" s="474"/>
      <c r="W131" s="474"/>
      <c r="X131" s="474"/>
      <c r="Y131" s="474"/>
    </row>
    <row r="132" spans="1:25" s="6" customFormat="1" x14ac:dyDescent="0.2">
      <c r="A132" s="8"/>
      <c r="B132" s="8"/>
      <c r="C132" s="8"/>
      <c r="D132" s="8"/>
      <c r="E132" s="2"/>
      <c r="G132" s="12"/>
      <c r="H132" s="12"/>
      <c r="I132" s="12"/>
      <c r="J132" s="12"/>
      <c r="K132" s="12"/>
      <c r="M132" s="474"/>
      <c r="N132" s="474"/>
      <c r="O132" s="474"/>
      <c r="P132" s="474"/>
      <c r="Q132" s="474"/>
      <c r="R132" s="474"/>
      <c r="S132" s="474"/>
      <c r="T132" s="474"/>
      <c r="U132" s="474"/>
      <c r="V132" s="474"/>
      <c r="W132" s="474"/>
      <c r="X132" s="474"/>
      <c r="Y132" s="474"/>
    </row>
    <row r="133" spans="1:25" s="6" customFormat="1" x14ac:dyDescent="0.2">
      <c r="A133" s="8"/>
      <c r="B133" s="8"/>
      <c r="C133" s="8"/>
      <c r="D133" s="8"/>
      <c r="E133" s="2"/>
      <c r="G133" s="12"/>
      <c r="H133" s="12"/>
      <c r="I133" s="12"/>
      <c r="J133" s="12"/>
      <c r="K133" s="12"/>
      <c r="M133" s="474"/>
      <c r="N133" s="474"/>
      <c r="O133" s="474"/>
      <c r="P133" s="474"/>
      <c r="Q133" s="474"/>
      <c r="R133" s="474"/>
      <c r="S133" s="474"/>
      <c r="T133" s="474"/>
      <c r="U133" s="474"/>
      <c r="V133" s="474"/>
      <c r="W133" s="474"/>
      <c r="X133" s="474"/>
      <c r="Y133" s="474"/>
    </row>
    <row r="134" spans="1:25" s="6" customFormat="1" x14ac:dyDescent="0.2">
      <c r="A134" s="8"/>
      <c r="B134" s="8"/>
      <c r="C134" s="8"/>
      <c r="D134" s="8"/>
      <c r="E134" s="2"/>
      <c r="G134" s="12"/>
      <c r="H134" s="12"/>
      <c r="I134" s="12"/>
      <c r="J134" s="12"/>
      <c r="K134" s="12"/>
      <c r="M134" s="474"/>
      <c r="N134" s="474"/>
      <c r="O134" s="474"/>
      <c r="P134" s="474"/>
      <c r="Q134" s="474"/>
      <c r="R134" s="474"/>
      <c r="S134" s="474"/>
      <c r="T134" s="474"/>
      <c r="U134" s="474"/>
      <c r="V134" s="474"/>
      <c r="W134" s="474"/>
      <c r="X134" s="474"/>
      <c r="Y134" s="474"/>
    </row>
    <row r="135" spans="1:25" s="6" customFormat="1" x14ac:dyDescent="0.2">
      <c r="A135" s="8"/>
      <c r="B135" s="8"/>
      <c r="C135" s="8"/>
      <c r="D135" s="8"/>
      <c r="E135" s="2"/>
      <c r="G135" s="12"/>
      <c r="H135" s="12"/>
      <c r="I135" s="12"/>
      <c r="J135" s="12"/>
      <c r="K135" s="12"/>
      <c r="M135" s="474"/>
      <c r="N135" s="474"/>
      <c r="O135" s="474"/>
      <c r="P135" s="474"/>
      <c r="Q135" s="474"/>
      <c r="R135" s="474"/>
      <c r="S135" s="474"/>
      <c r="T135" s="474"/>
      <c r="U135" s="474"/>
      <c r="V135" s="474"/>
      <c r="W135" s="474"/>
      <c r="X135" s="474"/>
      <c r="Y135" s="474"/>
    </row>
    <row r="136" spans="1:25" s="6" customFormat="1" x14ac:dyDescent="0.2">
      <c r="A136" s="8"/>
      <c r="B136" s="8"/>
      <c r="C136" s="8"/>
      <c r="D136" s="8"/>
      <c r="E136" s="2"/>
      <c r="G136" s="12"/>
      <c r="H136" s="12"/>
      <c r="I136" s="12"/>
      <c r="J136" s="12"/>
      <c r="K136" s="12"/>
      <c r="M136" s="474"/>
      <c r="N136" s="474"/>
      <c r="O136" s="474"/>
      <c r="P136" s="474"/>
      <c r="Q136" s="474"/>
      <c r="R136" s="474"/>
      <c r="S136" s="474"/>
      <c r="T136" s="474"/>
      <c r="U136" s="474"/>
      <c r="V136" s="474"/>
      <c r="W136" s="474"/>
      <c r="X136" s="474"/>
      <c r="Y136" s="474"/>
    </row>
    <row r="137" spans="1:25" s="6" customFormat="1" x14ac:dyDescent="0.2">
      <c r="A137" s="8"/>
      <c r="B137" s="8"/>
      <c r="C137" s="8"/>
      <c r="D137" s="8"/>
      <c r="E137" s="2"/>
      <c r="G137" s="12"/>
      <c r="H137" s="12"/>
      <c r="I137" s="12"/>
      <c r="J137" s="12"/>
      <c r="K137" s="12"/>
      <c r="M137" s="474"/>
      <c r="N137" s="474"/>
      <c r="O137" s="474"/>
      <c r="P137" s="474"/>
      <c r="Q137" s="474"/>
      <c r="R137" s="474"/>
      <c r="S137" s="474"/>
      <c r="T137" s="474"/>
      <c r="U137" s="474"/>
      <c r="V137" s="474"/>
      <c r="W137" s="474"/>
      <c r="X137" s="474"/>
      <c r="Y137" s="474"/>
    </row>
    <row r="138" spans="1:25" s="6" customFormat="1" x14ac:dyDescent="0.2">
      <c r="A138" s="8"/>
      <c r="B138" s="8"/>
      <c r="C138" s="8"/>
      <c r="D138" s="8"/>
      <c r="E138" s="2"/>
      <c r="G138" s="12"/>
      <c r="H138" s="12"/>
      <c r="I138" s="12"/>
      <c r="J138" s="12"/>
      <c r="K138" s="12"/>
      <c r="M138" s="474"/>
      <c r="N138" s="474"/>
      <c r="O138" s="474"/>
      <c r="P138" s="474"/>
      <c r="Q138" s="474"/>
      <c r="R138" s="474"/>
      <c r="S138" s="474"/>
      <c r="T138" s="474"/>
      <c r="U138" s="474"/>
      <c r="V138" s="474"/>
      <c r="W138" s="474"/>
      <c r="X138" s="474"/>
      <c r="Y138" s="474"/>
    </row>
    <row r="139" spans="1:25" s="6" customFormat="1" x14ac:dyDescent="0.2">
      <c r="A139" s="8"/>
      <c r="B139" s="8"/>
      <c r="C139" s="8"/>
      <c r="D139" s="8"/>
      <c r="E139" s="2"/>
      <c r="G139" s="12"/>
      <c r="H139" s="12"/>
      <c r="I139" s="12"/>
      <c r="J139" s="12"/>
      <c r="K139" s="12"/>
      <c r="M139" s="474"/>
      <c r="N139" s="474"/>
      <c r="O139" s="474"/>
      <c r="P139" s="474"/>
      <c r="Q139" s="474"/>
      <c r="R139" s="474"/>
      <c r="S139" s="474"/>
      <c r="T139" s="474"/>
      <c r="U139" s="474"/>
      <c r="V139" s="474"/>
      <c r="W139" s="474"/>
      <c r="X139" s="474"/>
      <c r="Y139" s="474"/>
    </row>
    <row r="140" spans="1:25" s="6" customFormat="1" x14ac:dyDescent="0.2">
      <c r="A140" s="8"/>
      <c r="B140" s="8"/>
      <c r="C140" s="8"/>
      <c r="D140" s="8"/>
      <c r="E140" s="2"/>
      <c r="G140" s="12"/>
      <c r="H140" s="12"/>
      <c r="I140" s="12"/>
      <c r="J140" s="12"/>
      <c r="K140" s="12"/>
      <c r="M140" s="474"/>
      <c r="N140" s="474"/>
      <c r="O140" s="474"/>
      <c r="P140" s="474"/>
      <c r="Q140" s="474"/>
      <c r="R140" s="474"/>
      <c r="S140" s="474"/>
      <c r="T140" s="474"/>
      <c r="U140" s="474"/>
      <c r="V140" s="474"/>
      <c r="W140" s="474"/>
      <c r="X140" s="474"/>
      <c r="Y140" s="474"/>
    </row>
    <row r="141" spans="1:25" s="6" customFormat="1" x14ac:dyDescent="0.2">
      <c r="A141" s="8"/>
      <c r="B141" s="8"/>
      <c r="C141" s="8"/>
      <c r="D141" s="8"/>
      <c r="E141" s="2"/>
      <c r="G141" s="12"/>
      <c r="H141" s="12"/>
      <c r="I141" s="12"/>
      <c r="J141" s="12"/>
      <c r="K141" s="12"/>
      <c r="M141" s="474"/>
      <c r="N141" s="474"/>
      <c r="O141" s="474"/>
      <c r="P141" s="474"/>
      <c r="Q141" s="474"/>
      <c r="R141" s="474"/>
      <c r="S141" s="474"/>
      <c r="T141" s="474"/>
      <c r="U141" s="474"/>
      <c r="V141" s="474"/>
      <c r="W141" s="474"/>
      <c r="X141" s="474"/>
      <c r="Y141" s="474"/>
    </row>
    <row r="142" spans="1:25" s="6" customFormat="1" x14ac:dyDescent="0.2">
      <c r="A142" s="8"/>
      <c r="B142" s="8"/>
      <c r="C142" s="8"/>
      <c r="D142" s="8"/>
      <c r="E142" s="2"/>
      <c r="G142" s="12"/>
      <c r="H142" s="12"/>
      <c r="I142" s="12"/>
      <c r="J142" s="12"/>
      <c r="K142" s="12"/>
      <c r="M142" s="474"/>
      <c r="N142" s="474"/>
      <c r="O142" s="474"/>
      <c r="P142" s="474"/>
      <c r="Q142" s="474"/>
      <c r="R142" s="474"/>
      <c r="S142" s="474"/>
      <c r="T142" s="474"/>
      <c r="U142" s="474"/>
      <c r="V142" s="474"/>
      <c r="W142" s="474"/>
      <c r="X142" s="474"/>
      <c r="Y142" s="474"/>
    </row>
    <row r="143" spans="1:25" s="6" customFormat="1" x14ac:dyDescent="0.2">
      <c r="A143" s="8"/>
      <c r="B143" s="8"/>
      <c r="C143" s="8"/>
      <c r="D143" s="8"/>
      <c r="E143" s="2"/>
      <c r="G143" s="12"/>
      <c r="H143" s="12"/>
      <c r="I143" s="12"/>
      <c r="J143" s="12"/>
      <c r="K143" s="12"/>
      <c r="M143" s="474"/>
      <c r="N143" s="474"/>
      <c r="O143" s="474"/>
      <c r="P143" s="474"/>
      <c r="Q143" s="474"/>
      <c r="R143" s="474"/>
      <c r="S143" s="474"/>
      <c r="T143" s="474"/>
      <c r="U143" s="474"/>
      <c r="V143" s="474"/>
      <c r="W143" s="474"/>
      <c r="X143" s="474"/>
      <c r="Y143" s="474"/>
    </row>
    <row r="144" spans="1:25" s="6" customFormat="1" x14ac:dyDescent="0.2">
      <c r="A144" s="8"/>
      <c r="B144" s="8"/>
      <c r="C144" s="8"/>
      <c r="D144" s="8"/>
      <c r="E144" s="2"/>
      <c r="G144" s="12"/>
      <c r="H144" s="12"/>
      <c r="I144" s="12"/>
      <c r="J144" s="12"/>
      <c r="K144" s="12"/>
      <c r="M144" s="474"/>
      <c r="N144" s="474"/>
      <c r="O144" s="474"/>
      <c r="P144" s="474"/>
      <c r="Q144" s="474"/>
      <c r="R144" s="474"/>
      <c r="S144" s="474"/>
      <c r="T144" s="474"/>
      <c r="U144" s="474"/>
      <c r="V144" s="474"/>
      <c r="W144" s="474"/>
      <c r="X144" s="474"/>
      <c r="Y144" s="474"/>
    </row>
    <row r="145" spans="1:25" s="6" customFormat="1" x14ac:dyDescent="0.2">
      <c r="A145" s="8"/>
      <c r="B145" s="8"/>
      <c r="C145" s="8"/>
      <c r="D145" s="8"/>
      <c r="E145" s="2"/>
      <c r="G145" s="12"/>
      <c r="H145" s="12"/>
      <c r="I145" s="12"/>
      <c r="J145" s="12"/>
      <c r="K145" s="12"/>
      <c r="M145" s="474"/>
      <c r="N145" s="474"/>
      <c r="O145" s="474"/>
      <c r="P145" s="474"/>
      <c r="Q145" s="474"/>
      <c r="R145" s="474"/>
      <c r="S145" s="474"/>
      <c r="T145" s="474"/>
      <c r="U145" s="474"/>
      <c r="V145" s="474"/>
      <c r="W145" s="474"/>
      <c r="X145" s="474"/>
      <c r="Y145" s="474"/>
    </row>
    <row r="146" spans="1:25" s="6" customFormat="1" x14ac:dyDescent="0.2">
      <c r="A146" s="8"/>
      <c r="B146" s="8"/>
      <c r="C146" s="8"/>
      <c r="D146" s="8"/>
      <c r="E146" s="2"/>
      <c r="G146" s="12"/>
      <c r="H146" s="12"/>
      <c r="I146" s="12"/>
      <c r="J146" s="12"/>
      <c r="K146" s="12"/>
      <c r="M146" s="474"/>
      <c r="N146" s="474"/>
      <c r="O146" s="474"/>
      <c r="P146" s="474"/>
      <c r="Q146" s="474"/>
      <c r="R146" s="474"/>
      <c r="S146" s="474"/>
      <c r="T146" s="474"/>
      <c r="U146" s="474"/>
      <c r="V146" s="474"/>
      <c r="W146" s="474"/>
      <c r="X146" s="474"/>
      <c r="Y146" s="474"/>
    </row>
    <row r="147" spans="1:25" s="6" customFormat="1" x14ac:dyDescent="0.2">
      <c r="A147" s="8"/>
      <c r="B147" s="8"/>
      <c r="C147" s="8"/>
      <c r="D147" s="8"/>
      <c r="E147" s="2"/>
      <c r="G147" s="12"/>
      <c r="H147" s="12"/>
      <c r="I147" s="12"/>
      <c r="J147" s="12"/>
      <c r="K147" s="12"/>
      <c r="M147" s="474"/>
      <c r="N147" s="474"/>
      <c r="O147" s="474"/>
      <c r="P147" s="474"/>
      <c r="Q147" s="474"/>
      <c r="R147" s="474"/>
      <c r="S147" s="474"/>
      <c r="T147" s="474"/>
      <c r="U147" s="474"/>
      <c r="V147" s="474"/>
      <c r="W147" s="474"/>
      <c r="X147" s="474"/>
      <c r="Y147" s="474"/>
    </row>
    <row r="148" spans="1:25" s="6" customFormat="1" x14ac:dyDescent="0.2">
      <c r="A148" s="8"/>
      <c r="B148" s="8"/>
      <c r="C148" s="8"/>
      <c r="D148" s="8"/>
      <c r="E148" s="2"/>
      <c r="G148" s="12"/>
      <c r="H148" s="12"/>
      <c r="I148" s="12"/>
      <c r="J148" s="12"/>
      <c r="K148" s="12"/>
      <c r="M148" s="474"/>
      <c r="N148" s="474"/>
      <c r="O148" s="474"/>
      <c r="P148" s="474"/>
      <c r="Q148" s="474"/>
      <c r="R148" s="474"/>
      <c r="S148" s="474"/>
      <c r="T148" s="474"/>
      <c r="U148" s="474"/>
      <c r="V148" s="474"/>
      <c r="W148" s="474"/>
      <c r="X148" s="474"/>
      <c r="Y148" s="474"/>
    </row>
    <row r="149" spans="1:25" s="6" customFormat="1" x14ac:dyDescent="0.2">
      <c r="A149" s="8"/>
      <c r="B149" s="8"/>
      <c r="C149" s="8"/>
      <c r="D149" s="8"/>
      <c r="E149" s="2"/>
      <c r="G149" s="12"/>
      <c r="H149" s="12"/>
      <c r="I149" s="12"/>
      <c r="J149" s="12"/>
      <c r="K149" s="12"/>
      <c r="M149" s="474"/>
      <c r="N149" s="474"/>
      <c r="O149" s="474"/>
      <c r="P149" s="474"/>
      <c r="Q149" s="474"/>
      <c r="R149" s="474"/>
      <c r="S149" s="474"/>
      <c r="T149" s="474"/>
      <c r="U149" s="474"/>
      <c r="V149" s="474"/>
      <c r="W149" s="474"/>
      <c r="X149" s="474"/>
      <c r="Y149" s="474"/>
    </row>
    <row r="150" spans="1:25" s="6" customFormat="1" x14ac:dyDescent="0.2">
      <c r="A150" s="8"/>
      <c r="B150" s="8"/>
      <c r="C150" s="8"/>
      <c r="D150" s="8"/>
      <c r="E150" s="2"/>
      <c r="G150" s="12"/>
      <c r="H150" s="12"/>
      <c r="I150" s="12"/>
      <c r="J150" s="12"/>
      <c r="K150" s="12"/>
      <c r="M150" s="474"/>
      <c r="N150" s="474"/>
      <c r="O150" s="474"/>
      <c r="P150" s="474"/>
      <c r="Q150" s="474"/>
      <c r="R150" s="474"/>
      <c r="S150" s="474"/>
      <c r="T150" s="474"/>
      <c r="U150" s="474"/>
      <c r="V150" s="474"/>
      <c r="W150" s="474"/>
      <c r="X150" s="474"/>
      <c r="Y150" s="474"/>
    </row>
    <row r="151" spans="1:25" s="6" customFormat="1" x14ac:dyDescent="0.2">
      <c r="A151" s="8"/>
      <c r="B151" s="8"/>
      <c r="C151" s="8"/>
      <c r="D151" s="8"/>
      <c r="E151" s="2"/>
      <c r="G151" s="12"/>
      <c r="H151" s="12"/>
      <c r="I151" s="12"/>
      <c r="J151" s="12"/>
      <c r="K151" s="12"/>
      <c r="M151" s="474"/>
      <c r="N151" s="474"/>
      <c r="O151" s="474"/>
      <c r="P151" s="474"/>
      <c r="Q151" s="474"/>
      <c r="R151" s="474"/>
      <c r="S151" s="474"/>
      <c r="T151" s="474"/>
      <c r="U151" s="474"/>
      <c r="V151" s="474"/>
      <c r="W151" s="474"/>
      <c r="X151" s="474"/>
      <c r="Y151" s="474"/>
    </row>
    <row r="152" spans="1:25" s="6" customFormat="1" x14ac:dyDescent="0.2">
      <c r="A152" s="8"/>
      <c r="B152" s="8"/>
      <c r="C152" s="8"/>
      <c r="D152" s="8"/>
      <c r="E152" s="2"/>
      <c r="G152" s="12"/>
      <c r="H152" s="12"/>
      <c r="I152" s="12"/>
      <c r="J152" s="12"/>
      <c r="K152" s="12"/>
      <c r="M152" s="474"/>
      <c r="N152" s="474"/>
      <c r="O152" s="474"/>
      <c r="P152" s="474"/>
      <c r="Q152" s="474"/>
      <c r="R152" s="474"/>
      <c r="S152" s="474"/>
      <c r="T152" s="474"/>
      <c r="U152" s="474"/>
      <c r="V152" s="474"/>
      <c r="W152" s="474"/>
      <c r="X152" s="474"/>
      <c r="Y152" s="474"/>
    </row>
    <row r="153" spans="1:25" s="6" customFormat="1" x14ac:dyDescent="0.2">
      <c r="A153" s="8"/>
      <c r="B153" s="8"/>
      <c r="C153" s="8"/>
      <c r="D153" s="8"/>
      <c r="E153" s="2"/>
      <c r="G153" s="12"/>
      <c r="H153" s="12"/>
      <c r="I153" s="12"/>
      <c r="J153" s="12"/>
      <c r="K153" s="12"/>
      <c r="M153" s="474"/>
      <c r="N153" s="474"/>
      <c r="O153" s="474"/>
      <c r="P153" s="474"/>
      <c r="Q153" s="474"/>
      <c r="R153" s="474"/>
      <c r="S153" s="474"/>
      <c r="T153" s="474"/>
      <c r="U153" s="474"/>
      <c r="V153" s="474"/>
      <c r="W153" s="474"/>
      <c r="X153" s="474"/>
      <c r="Y153" s="474"/>
    </row>
    <row r="154" spans="1:25" s="6" customFormat="1" x14ac:dyDescent="0.2">
      <c r="A154" s="8"/>
      <c r="B154" s="8"/>
      <c r="C154" s="8"/>
      <c r="D154" s="8"/>
      <c r="E154" s="2"/>
      <c r="G154" s="12"/>
      <c r="H154" s="12"/>
      <c r="I154" s="12"/>
      <c r="J154" s="12"/>
      <c r="K154" s="12"/>
      <c r="M154" s="474"/>
      <c r="N154" s="474"/>
      <c r="O154" s="474"/>
      <c r="P154" s="474"/>
      <c r="Q154" s="474"/>
      <c r="R154" s="474"/>
      <c r="S154" s="474"/>
      <c r="T154" s="474"/>
      <c r="U154" s="474"/>
      <c r="V154" s="474"/>
      <c r="W154" s="474"/>
      <c r="X154" s="474"/>
      <c r="Y154" s="474"/>
    </row>
    <row r="155" spans="1:25" s="6" customFormat="1" x14ac:dyDescent="0.2">
      <c r="A155" s="8"/>
      <c r="B155" s="8"/>
      <c r="C155" s="8"/>
      <c r="D155" s="8"/>
      <c r="E155" s="2"/>
      <c r="G155" s="12"/>
      <c r="H155" s="12"/>
      <c r="I155" s="12"/>
      <c r="J155" s="12"/>
      <c r="K155" s="12"/>
      <c r="M155" s="474"/>
      <c r="N155" s="474"/>
      <c r="O155" s="474"/>
      <c r="P155" s="474"/>
      <c r="Q155" s="474"/>
      <c r="R155" s="474"/>
      <c r="S155" s="474"/>
      <c r="T155" s="474"/>
      <c r="U155" s="474"/>
      <c r="V155" s="474"/>
      <c r="W155" s="474"/>
      <c r="X155" s="474"/>
      <c r="Y155" s="474"/>
    </row>
    <row r="156" spans="1:25" s="6" customFormat="1" x14ac:dyDescent="0.2">
      <c r="A156" s="8"/>
      <c r="B156" s="8"/>
      <c r="C156" s="8"/>
      <c r="D156" s="8"/>
      <c r="E156" s="2"/>
      <c r="G156" s="12"/>
      <c r="H156" s="12"/>
      <c r="I156" s="12"/>
      <c r="J156" s="12"/>
      <c r="K156" s="12"/>
      <c r="M156" s="474"/>
      <c r="N156" s="474"/>
      <c r="O156" s="474"/>
      <c r="P156" s="474"/>
      <c r="Q156" s="474"/>
      <c r="R156" s="474"/>
      <c r="S156" s="474"/>
      <c r="T156" s="474"/>
      <c r="U156" s="474"/>
      <c r="V156" s="474"/>
      <c r="W156" s="474"/>
      <c r="X156" s="474"/>
      <c r="Y156" s="474"/>
    </row>
    <row r="157" spans="1:25" s="6" customFormat="1" x14ac:dyDescent="0.2">
      <c r="A157" s="8"/>
      <c r="B157" s="8"/>
      <c r="C157" s="8"/>
      <c r="D157" s="8"/>
      <c r="E157" s="2"/>
      <c r="G157" s="12"/>
      <c r="H157" s="12"/>
      <c r="I157" s="12"/>
      <c r="J157" s="12"/>
      <c r="K157" s="12"/>
      <c r="M157" s="474"/>
      <c r="N157" s="474"/>
      <c r="O157" s="474"/>
      <c r="P157" s="474"/>
      <c r="Q157" s="474"/>
      <c r="R157" s="474"/>
      <c r="S157" s="474"/>
      <c r="T157" s="474"/>
      <c r="U157" s="474"/>
      <c r="V157" s="474"/>
      <c r="W157" s="474"/>
      <c r="X157" s="474"/>
      <c r="Y157" s="474"/>
    </row>
    <row r="158" spans="1:25" s="6" customFormat="1" x14ac:dyDescent="0.2">
      <c r="A158" s="8"/>
      <c r="B158" s="8"/>
      <c r="C158" s="8"/>
      <c r="D158" s="8"/>
      <c r="E158" s="2"/>
      <c r="G158" s="12"/>
      <c r="H158" s="12"/>
      <c r="I158" s="12"/>
      <c r="J158" s="12"/>
      <c r="K158" s="12"/>
      <c r="M158" s="474"/>
      <c r="N158" s="474"/>
      <c r="O158" s="474"/>
      <c r="P158" s="474"/>
      <c r="Q158" s="474"/>
      <c r="R158" s="474"/>
      <c r="S158" s="474"/>
      <c r="T158" s="474"/>
      <c r="U158" s="474"/>
      <c r="V158" s="474"/>
      <c r="W158" s="474"/>
      <c r="X158" s="474"/>
      <c r="Y158" s="474"/>
    </row>
    <row r="159" spans="1:25" s="6" customFormat="1" x14ac:dyDescent="0.2">
      <c r="A159" s="8"/>
      <c r="B159" s="8"/>
      <c r="C159" s="8"/>
      <c r="D159" s="8"/>
      <c r="E159" s="2"/>
      <c r="G159" s="12"/>
      <c r="H159" s="12"/>
      <c r="I159" s="12"/>
      <c r="J159" s="12"/>
      <c r="K159" s="12"/>
      <c r="M159" s="474"/>
      <c r="N159" s="474"/>
      <c r="O159" s="474"/>
      <c r="P159" s="474"/>
      <c r="Q159" s="474"/>
      <c r="R159" s="474"/>
      <c r="S159" s="474"/>
      <c r="T159" s="474"/>
      <c r="U159" s="474"/>
      <c r="V159" s="474"/>
      <c r="W159" s="474"/>
      <c r="X159" s="474"/>
      <c r="Y159" s="474"/>
    </row>
    <row r="160" spans="1:25" s="6" customFormat="1" x14ac:dyDescent="0.2">
      <c r="A160" s="8"/>
      <c r="B160" s="8"/>
      <c r="C160" s="8"/>
      <c r="D160" s="8"/>
      <c r="E160" s="2"/>
      <c r="G160" s="12"/>
      <c r="H160" s="12"/>
      <c r="I160" s="12"/>
      <c r="J160" s="12"/>
      <c r="K160" s="12"/>
      <c r="M160" s="474"/>
      <c r="N160" s="474"/>
      <c r="O160" s="474"/>
      <c r="P160" s="474"/>
      <c r="Q160" s="474"/>
      <c r="R160" s="474"/>
      <c r="S160" s="474"/>
      <c r="T160" s="474"/>
      <c r="U160" s="474"/>
      <c r="V160" s="474"/>
      <c r="W160" s="474"/>
      <c r="X160" s="474"/>
      <c r="Y160" s="474"/>
    </row>
    <row r="161" spans="1:25" s="6" customFormat="1" x14ac:dyDescent="0.2">
      <c r="A161" s="8"/>
      <c r="B161" s="8"/>
      <c r="C161" s="8"/>
      <c r="D161" s="8"/>
      <c r="E161" s="2"/>
      <c r="G161" s="12"/>
      <c r="H161" s="12"/>
      <c r="I161" s="12"/>
      <c r="J161" s="12"/>
      <c r="K161" s="12"/>
      <c r="M161" s="474"/>
      <c r="N161" s="474"/>
      <c r="O161" s="474"/>
      <c r="P161" s="474"/>
      <c r="Q161" s="474"/>
      <c r="R161" s="474"/>
      <c r="S161" s="474"/>
      <c r="T161" s="474"/>
      <c r="U161" s="474"/>
      <c r="V161" s="474"/>
      <c r="W161" s="474"/>
      <c r="X161" s="474"/>
      <c r="Y161" s="474"/>
    </row>
    <row r="162" spans="1:25" s="6" customFormat="1" x14ac:dyDescent="0.2">
      <c r="A162" s="8"/>
      <c r="B162" s="8"/>
      <c r="C162" s="8"/>
      <c r="D162" s="8"/>
      <c r="E162" s="2"/>
      <c r="G162" s="12"/>
      <c r="H162" s="12"/>
      <c r="I162" s="12"/>
      <c r="J162" s="12"/>
      <c r="K162" s="12"/>
      <c r="M162" s="474"/>
      <c r="N162" s="474"/>
      <c r="O162" s="474"/>
      <c r="P162" s="474"/>
      <c r="Q162" s="474"/>
      <c r="R162" s="474"/>
      <c r="S162" s="474"/>
      <c r="T162" s="474"/>
      <c r="U162" s="474"/>
      <c r="V162" s="474"/>
      <c r="W162" s="474"/>
      <c r="X162" s="474"/>
      <c r="Y162" s="474"/>
    </row>
    <row r="163" spans="1:25" s="6" customFormat="1" x14ac:dyDescent="0.2">
      <c r="A163" s="8"/>
      <c r="B163" s="8"/>
      <c r="C163" s="8"/>
      <c r="D163" s="8"/>
      <c r="E163" s="2"/>
      <c r="G163" s="12"/>
      <c r="H163" s="12"/>
      <c r="I163" s="12"/>
      <c r="J163" s="12"/>
      <c r="K163" s="12"/>
      <c r="M163" s="474"/>
      <c r="N163" s="474"/>
      <c r="O163" s="474"/>
      <c r="P163" s="474"/>
      <c r="Q163" s="474"/>
      <c r="R163" s="474"/>
      <c r="S163" s="474"/>
      <c r="T163" s="474"/>
      <c r="U163" s="474"/>
      <c r="V163" s="474"/>
      <c r="W163" s="474"/>
      <c r="X163" s="474"/>
      <c r="Y163" s="474"/>
    </row>
    <row r="164" spans="1:25" s="6" customFormat="1" x14ac:dyDescent="0.2">
      <c r="A164" s="8"/>
      <c r="B164" s="8"/>
      <c r="C164" s="8"/>
      <c r="D164" s="8"/>
      <c r="E164" s="2"/>
      <c r="G164" s="12"/>
      <c r="H164" s="12"/>
      <c r="I164" s="12"/>
      <c r="J164" s="12"/>
      <c r="K164" s="12"/>
      <c r="M164" s="474"/>
      <c r="N164" s="474"/>
      <c r="O164" s="474"/>
      <c r="P164" s="474"/>
      <c r="Q164" s="474"/>
      <c r="R164" s="474"/>
      <c r="S164" s="474"/>
      <c r="T164" s="474"/>
      <c r="U164" s="474"/>
      <c r="V164" s="474"/>
      <c r="W164" s="474"/>
      <c r="X164" s="474"/>
      <c r="Y164" s="474"/>
    </row>
    <row r="165" spans="1:25" s="6" customFormat="1" x14ac:dyDescent="0.2">
      <c r="A165" s="8"/>
      <c r="B165" s="8"/>
      <c r="C165" s="8"/>
      <c r="D165" s="8"/>
      <c r="E165" s="2"/>
      <c r="G165" s="12"/>
      <c r="H165" s="12"/>
      <c r="I165" s="12"/>
      <c r="J165" s="12"/>
      <c r="K165" s="12"/>
      <c r="M165" s="474"/>
      <c r="N165" s="474"/>
      <c r="O165" s="474"/>
      <c r="P165" s="474"/>
      <c r="Q165" s="474"/>
      <c r="R165" s="474"/>
      <c r="S165" s="474"/>
      <c r="T165" s="474"/>
      <c r="U165" s="474"/>
      <c r="V165" s="474"/>
      <c r="W165" s="474"/>
      <c r="X165" s="474"/>
      <c r="Y165" s="474"/>
    </row>
    <row r="166" spans="1:25" s="6" customFormat="1" x14ac:dyDescent="0.2">
      <c r="A166" s="8"/>
      <c r="B166" s="8"/>
      <c r="C166" s="8"/>
      <c r="D166" s="8"/>
      <c r="E166" s="2"/>
      <c r="G166" s="12"/>
      <c r="H166" s="12"/>
      <c r="I166" s="12"/>
      <c r="J166" s="12"/>
      <c r="K166" s="12"/>
      <c r="M166" s="474"/>
      <c r="N166" s="474"/>
      <c r="O166" s="474"/>
      <c r="P166" s="474"/>
      <c r="Q166" s="474"/>
      <c r="R166" s="474"/>
      <c r="S166" s="474"/>
      <c r="T166" s="474"/>
      <c r="U166" s="474"/>
      <c r="V166" s="474"/>
      <c r="W166" s="474"/>
      <c r="X166" s="474"/>
      <c r="Y166" s="474"/>
    </row>
    <row r="167" spans="1:25" s="6" customFormat="1" x14ac:dyDescent="0.2">
      <c r="A167" s="8"/>
      <c r="B167" s="8"/>
      <c r="C167" s="8"/>
      <c r="D167" s="8"/>
      <c r="E167" s="2"/>
      <c r="G167" s="12"/>
      <c r="H167" s="12"/>
      <c r="I167" s="12"/>
      <c r="J167" s="12"/>
      <c r="K167" s="12"/>
      <c r="M167" s="474"/>
      <c r="N167" s="474"/>
      <c r="O167" s="474"/>
      <c r="P167" s="474"/>
      <c r="Q167" s="474"/>
      <c r="R167" s="474"/>
      <c r="S167" s="474"/>
      <c r="T167" s="474"/>
      <c r="U167" s="474"/>
      <c r="V167" s="474"/>
      <c r="W167" s="474"/>
      <c r="X167" s="474"/>
      <c r="Y167" s="474"/>
    </row>
    <row r="168" spans="1:25" s="6" customFormat="1" x14ac:dyDescent="0.2">
      <c r="A168" s="8"/>
      <c r="B168" s="8"/>
      <c r="C168" s="8"/>
      <c r="D168" s="8"/>
      <c r="E168" s="2"/>
      <c r="G168" s="12"/>
      <c r="H168" s="12"/>
      <c r="I168" s="12"/>
      <c r="J168" s="12"/>
      <c r="K168" s="12"/>
      <c r="M168" s="474"/>
      <c r="N168" s="474"/>
      <c r="O168" s="474"/>
      <c r="P168" s="474"/>
      <c r="Q168" s="474"/>
      <c r="R168" s="474"/>
      <c r="S168" s="474"/>
      <c r="T168" s="474"/>
      <c r="U168" s="474"/>
      <c r="V168" s="474"/>
      <c r="W168" s="474"/>
      <c r="X168" s="474"/>
      <c r="Y168" s="474"/>
    </row>
    <row r="169" spans="1:25" s="6" customFormat="1" x14ac:dyDescent="0.2">
      <c r="A169" s="8"/>
      <c r="B169" s="8"/>
      <c r="C169" s="8"/>
      <c r="D169" s="8"/>
      <c r="E169" s="2"/>
      <c r="G169" s="12"/>
      <c r="H169" s="12"/>
      <c r="I169" s="12"/>
      <c r="J169" s="12"/>
      <c r="K169" s="12"/>
      <c r="M169" s="474"/>
      <c r="N169" s="474"/>
      <c r="O169" s="474"/>
      <c r="P169" s="474"/>
      <c r="Q169" s="474"/>
      <c r="R169" s="474"/>
      <c r="S169" s="474"/>
      <c r="T169" s="474"/>
      <c r="U169" s="474"/>
      <c r="V169" s="474"/>
      <c r="W169" s="474"/>
      <c r="X169" s="474"/>
      <c r="Y169" s="474"/>
    </row>
    <row r="170" spans="1:25" s="6" customFormat="1" x14ac:dyDescent="0.2">
      <c r="A170" s="8"/>
      <c r="B170" s="8"/>
      <c r="C170" s="8"/>
      <c r="D170" s="8"/>
      <c r="E170" s="2"/>
      <c r="G170" s="12"/>
      <c r="H170" s="12"/>
      <c r="I170" s="12"/>
      <c r="J170" s="12"/>
      <c r="K170" s="12"/>
      <c r="M170" s="474"/>
      <c r="N170" s="474"/>
      <c r="O170" s="474"/>
      <c r="P170" s="474"/>
      <c r="Q170" s="474"/>
      <c r="R170" s="474"/>
      <c r="S170" s="474"/>
      <c r="T170" s="474"/>
      <c r="U170" s="474"/>
      <c r="V170" s="474"/>
      <c r="W170" s="474"/>
      <c r="X170" s="474"/>
      <c r="Y170" s="474"/>
    </row>
    <row r="171" spans="1:25" s="6" customFormat="1" x14ac:dyDescent="0.2">
      <c r="A171" s="8"/>
      <c r="B171" s="8"/>
      <c r="C171" s="8"/>
      <c r="D171" s="8"/>
      <c r="E171" s="2"/>
      <c r="G171" s="12"/>
      <c r="H171" s="12"/>
      <c r="I171" s="12"/>
      <c r="J171" s="12"/>
      <c r="K171" s="12"/>
      <c r="M171" s="474"/>
      <c r="N171" s="474"/>
      <c r="O171" s="474"/>
      <c r="P171" s="474"/>
      <c r="Q171" s="474"/>
      <c r="R171" s="474"/>
      <c r="S171" s="474"/>
      <c r="T171" s="474"/>
      <c r="U171" s="474"/>
      <c r="V171" s="474"/>
      <c r="W171" s="474"/>
      <c r="X171" s="474"/>
      <c r="Y171" s="474"/>
    </row>
    <row r="172" spans="1:25" s="6" customFormat="1" x14ac:dyDescent="0.2">
      <c r="A172" s="8"/>
      <c r="B172" s="8"/>
      <c r="C172" s="8"/>
      <c r="D172" s="8"/>
      <c r="E172" s="2"/>
      <c r="G172" s="12"/>
      <c r="H172" s="12"/>
      <c r="I172" s="12"/>
      <c r="J172" s="12"/>
      <c r="K172" s="12"/>
      <c r="M172" s="474"/>
      <c r="N172" s="474"/>
      <c r="O172" s="474"/>
      <c r="P172" s="474"/>
      <c r="Q172" s="474"/>
      <c r="R172" s="474"/>
      <c r="S172" s="474"/>
      <c r="T172" s="474"/>
      <c r="U172" s="474"/>
      <c r="V172" s="474"/>
      <c r="W172" s="474"/>
      <c r="X172" s="474"/>
      <c r="Y172" s="474"/>
    </row>
    <row r="173" spans="1:25" s="6" customFormat="1" x14ac:dyDescent="0.2">
      <c r="A173" s="8"/>
      <c r="B173" s="8"/>
      <c r="C173" s="8"/>
      <c r="D173" s="8"/>
      <c r="E173" s="2"/>
      <c r="G173" s="12"/>
      <c r="H173" s="12"/>
      <c r="I173" s="12"/>
      <c r="J173" s="12"/>
      <c r="K173" s="12"/>
      <c r="M173" s="474"/>
      <c r="N173" s="474"/>
      <c r="O173" s="474"/>
      <c r="P173" s="474"/>
      <c r="Q173" s="474"/>
      <c r="R173" s="474"/>
      <c r="S173" s="474"/>
      <c r="T173" s="474"/>
      <c r="U173" s="474"/>
      <c r="V173" s="474"/>
      <c r="W173" s="474"/>
      <c r="X173" s="474"/>
      <c r="Y173" s="474"/>
    </row>
    <row r="174" spans="1:25" s="6" customFormat="1" x14ac:dyDescent="0.2">
      <c r="A174" s="8"/>
      <c r="B174" s="8"/>
      <c r="C174" s="8"/>
      <c r="D174" s="8"/>
      <c r="E174" s="2"/>
      <c r="G174" s="12"/>
      <c r="H174" s="12"/>
      <c r="I174" s="12"/>
      <c r="J174" s="12"/>
      <c r="K174" s="12"/>
      <c r="M174" s="474"/>
      <c r="N174" s="474"/>
      <c r="O174" s="474"/>
      <c r="P174" s="474"/>
      <c r="Q174" s="474"/>
      <c r="R174" s="474"/>
      <c r="S174" s="474"/>
      <c r="T174" s="474"/>
      <c r="U174" s="474"/>
      <c r="V174" s="474"/>
      <c r="W174" s="474"/>
      <c r="X174" s="474"/>
      <c r="Y174" s="474"/>
    </row>
    <row r="175" spans="1:25" s="6" customFormat="1" x14ac:dyDescent="0.2">
      <c r="A175" s="8"/>
      <c r="B175" s="8"/>
      <c r="C175" s="8"/>
      <c r="D175" s="8"/>
      <c r="E175" s="2"/>
      <c r="G175" s="12"/>
      <c r="H175" s="12"/>
      <c r="I175" s="12"/>
      <c r="J175" s="12"/>
      <c r="K175" s="12"/>
      <c r="M175" s="474"/>
      <c r="N175" s="474"/>
      <c r="O175" s="474"/>
      <c r="P175" s="474"/>
      <c r="Q175" s="474"/>
      <c r="R175" s="474"/>
      <c r="S175" s="474"/>
      <c r="T175" s="474"/>
      <c r="U175" s="474"/>
      <c r="V175" s="474"/>
      <c r="W175" s="474"/>
      <c r="X175" s="474"/>
      <c r="Y175" s="474"/>
    </row>
    <row r="176" spans="1:25" s="6" customFormat="1" x14ac:dyDescent="0.2">
      <c r="A176" s="8"/>
      <c r="B176" s="8"/>
      <c r="C176" s="8"/>
      <c r="D176" s="8"/>
      <c r="E176" s="2"/>
      <c r="G176" s="12"/>
      <c r="H176" s="12"/>
      <c r="I176" s="12"/>
      <c r="J176" s="12"/>
      <c r="K176" s="12"/>
      <c r="M176" s="474"/>
      <c r="N176" s="474"/>
      <c r="O176" s="474"/>
      <c r="P176" s="474"/>
      <c r="Q176" s="474"/>
      <c r="R176" s="474"/>
      <c r="S176" s="474"/>
      <c r="T176" s="474"/>
      <c r="U176" s="474"/>
      <c r="V176" s="474"/>
      <c r="W176" s="474"/>
      <c r="X176" s="474"/>
      <c r="Y176" s="474"/>
    </row>
    <row r="177" spans="1:25" s="6" customFormat="1" x14ac:dyDescent="0.2">
      <c r="A177" s="8"/>
      <c r="B177" s="8"/>
      <c r="C177" s="8"/>
      <c r="D177" s="8"/>
      <c r="E177" s="2"/>
      <c r="G177" s="12"/>
      <c r="H177" s="12"/>
      <c r="I177" s="12"/>
      <c r="J177" s="12"/>
      <c r="K177" s="12"/>
      <c r="M177" s="474"/>
      <c r="N177" s="474"/>
      <c r="O177" s="474"/>
      <c r="P177" s="474"/>
      <c r="Q177" s="474"/>
      <c r="R177" s="474"/>
      <c r="S177" s="474"/>
      <c r="T177" s="474"/>
      <c r="U177" s="474"/>
      <c r="V177" s="474"/>
      <c r="W177" s="474"/>
      <c r="X177" s="474"/>
      <c r="Y177" s="474"/>
    </row>
    <row r="178" spans="1:25" s="6" customFormat="1" x14ac:dyDescent="0.2">
      <c r="A178" s="8"/>
      <c r="B178" s="8"/>
      <c r="C178" s="8"/>
      <c r="D178" s="8"/>
      <c r="E178" s="2"/>
      <c r="G178" s="12"/>
      <c r="H178" s="12"/>
      <c r="I178" s="12"/>
      <c r="J178" s="12"/>
      <c r="K178" s="12"/>
      <c r="M178" s="474"/>
      <c r="N178" s="474"/>
      <c r="O178" s="474"/>
      <c r="P178" s="474"/>
      <c r="Q178" s="474"/>
      <c r="R178" s="474"/>
      <c r="S178" s="474"/>
      <c r="T178" s="474"/>
      <c r="U178" s="474"/>
      <c r="V178" s="474"/>
      <c r="W178" s="474"/>
      <c r="X178" s="474"/>
      <c r="Y178" s="474"/>
    </row>
    <row r="179" spans="1:25" s="6" customFormat="1" x14ac:dyDescent="0.2">
      <c r="A179" s="8"/>
      <c r="B179" s="8"/>
      <c r="C179" s="8"/>
      <c r="D179" s="8"/>
      <c r="E179" s="2"/>
      <c r="G179" s="12"/>
      <c r="H179" s="12"/>
      <c r="I179" s="12"/>
      <c r="J179" s="12"/>
      <c r="K179" s="12"/>
      <c r="M179" s="474"/>
      <c r="N179" s="474"/>
      <c r="O179" s="474"/>
      <c r="P179" s="474"/>
      <c r="Q179" s="474"/>
      <c r="R179" s="474"/>
      <c r="S179" s="474"/>
      <c r="T179" s="474"/>
      <c r="U179" s="474"/>
      <c r="V179" s="474"/>
      <c r="W179" s="474"/>
      <c r="X179" s="474"/>
      <c r="Y179" s="474"/>
    </row>
    <row r="180" spans="1:25" s="6" customFormat="1" x14ac:dyDescent="0.2">
      <c r="A180" s="8"/>
      <c r="B180" s="8"/>
      <c r="C180" s="8"/>
      <c r="D180" s="8"/>
      <c r="E180" s="2"/>
      <c r="G180" s="12"/>
      <c r="H180" s="12"/>
      <c r="I180" s="12"/>
      <c r="J180" s="12"/>
      <c r="K180" s="12"/>
      <c r="M180" s="474"/>
      <c r="N180" s="474"/>
      <c r="O180" s="474"/>
      <c r="P180" s="474"/>
      <c r="Q180" s="474"/>
      <c r="R180" s="474"/>
      <c r="S180" s="474"/>
      <c r="T180" s="474"/>
      <c r="U180" s="474"/>
      <c r="V180" s="474"/>
      <c r="W180" s="474"/>
      <c r="X180" s="474"/>
      <c r="Y180" s="474"/>
    </row>
    <row r="181" spans="1:25" s="6" customFormat="1" x14ac:dyDescent="0.2">
      <c r="A181" s="8"/>
      <c r="B181" s="8"/>
      <c r="C181" s="8"/>
      <c r="D181" s="8"/>
      <c r="E181" s="2"/>
      <c r="G181" s="12"/>
      <c r="H181" s="12"/>
      <c r="I181" s="12"/>
      <c r="J181" s="12"/>
      <c r="K181" s="12"/>
      <c r="M181" s="474"/>
      <c r="N181" s="474"/>
      <c r="O181" s="474"/>
      <c r="P181" s="474"/>
      <c r="Q181" s="474"/>
      <c r="R181" s="474"/>
      <c r="S181" s="474"/>
      <c r="T181" s="474"/>
      <c r="U181" s="474"/>
      <c r="V181" s="474"/>
      <c r="W181" s="474"/>
      <c r="X181" s="474"/>
      <c r="Y181" s="474"/>
    </row>
    <row r="182" spans="1:25" s="6" customFormat="1" x14ac:dyDescent="0.2">
      <c r="A182" s="8"/>
      <c r="B182" s="8"/>
      <c r="C182" s="8"/>
      <c r="D182" s="8"/>
      <c r="E182" s="2"/>
      <c r="G182" s="12"/>
      <c r="H182" s="12"/>
      <c r="I182" s="12"/>
      <c r="J182" s="12"/>
      <c r="K182" s="12"/>
      <c r="M182" s="474"/>
      <c r="N182" s="474"/>
      <c r="O182" s="474"/>
      <c r="P182" s="474"/>
      <c r="Q182" s="474"/>
      <c r="R182" s="474"/>
      <c r="S182" s="474"/>
      <c r="T182" s="474"/>
      <c r="U182" s="474"/>
      <c r="V182" s="474"/>
      <c r="W182" s="474"/>
      <c r="X182" s="474"/>
      <c r="Y182" s="474"/>
    </row>
    <row r="183" spans="1:25" s="6" customFormat="1" x14ac:dyDescent="0.2">
      <c r="A183" s="8"/>
      <c r="B183" s="8"/>
      <c r="C183" s="8"/>
      <c r="D183" s="8"/>
      <c r="E183" s="2"/>
      <c r="G183" s="12"/>
      <c r="H183" s="12"/>
      <c r="I183" s="12"/>
      <c r="J183" s="12"/>
      <c r="K183" s="12"/>
      <c r="M183" s="474"/>
      <c r="N183" s="474"/>
      <c r="O183" s="474"/>
      <c r="P183" s="474"/>
      <c r="Q183" s="474"/>
      <c r="R183" s="474"/>
      <c r="S183" s="474"/>
      <c r="T183" s="474"/>
      <c r="U183" s="474"/>
      <c r="V183" s="474"/>
      <c r="W183" s="474"/>
      <c r="X183" s="474"/>
      <c r="Y183" s="474"/>
    </row>
    <row r="184" spans="1:25" s="6" customFormat="1" x14ac:dyDescent="0.2">
      <c r="A184" s="8"/>
      <c r="B184" s="8"/>
      <c r="C184" s="8"/>
      <c r="D184" s="8"/>
      <c r="E184" s="2"/>
      <c r="G184" s="12"/>
      <c r="H184" s="12"/>
      <c r="I184" s="12"/>
      <c r="J184" s="12"/>
      <c r="K184" s="12"/>
      <c r="M184" s="474"/>
      <c r="N184" s="474"/>
      <c r="O184" s="474"/>
      <c r="P184" s="474"/>
      <c r="Q184" s="474"/>
      <c r="R184" s="474"/>
      <c r="S184" s="474"/>
      <c r="T184" s="474"/>
      <c r="U184" s="474"/>
      <c r="V184" s="474"/>
      <c r="W184" s="474"/>
      <c r="X184" s="474"/>
      <c r="Y184" s="474"/>
    </row>
    <row r="185" spans="1:25" s="6" customFormat="1" x14ac:dyDescent="0.2">
      <c r="A185" s="8"/>
      <c r="B185" s="8"/>
      <c r="C185" s="8"/>
      <c r="D185" s="8"/>
      <c r="E185" s="2"/>
      <c r="G185" s="12"/>
      <c r="H185" s="12"/>
      <c r="I185" s="12"/>
      <c r="J185" s="12"/>
      <c r="K185" s="12"/>
      <c r="M185" s="474"/>
      <c r="N185" s="474"/>
      <c r="O185" s="474"/>
      <c r="P185" s="474"/>
      <c r="Q185" s="474"/>
      <c r="R185" s="474"/>
      <c r="S185" s="474"/>
      <c r="T185" s="474"/>
      <c r="U185" s="474"/>
      <c r="V185" s="474"/>
      <c r="W185" s="474"/>
      <c r="X185" s="474"/>
      <c r="Y185" s="474"/>
    </row>
    <row r="186" spans="1:25" s="6" customFormat="1" x14ac:dyDescent="0.2">
      <c r="A186" s="8"/>
      <c r="B186" s="8"/>
      <c r="C186" s="8"/>
      <c r="D186" s="8"/>
      <c r="E186" s="2"/>
      <c r="G186" s="12"/>
      <c r="H186" s="12"/>
      <c r="I186" s="12"/>
      <c r="J186" s="12"/>
      <c r="K186" s="12"/>
      <c r="M186" s="474"/>
      <c r="N186" s="474"/>
      <c r="O186" s="474"/>
      <c r="P186" s="474"/>
      <c r="Q186" s="474"/>
      <c r="R186" s="474"/>
      <c r="S186" s="474"/>
      <c r="T186" s="474"/>
      <c r="U186" s="474"/>
      <c r="V186" s="474"/>
      <c r="W186" s="474"/>
      <c r="X186" s="474"/>
      <c r="Y186" s="474"/>
    </row>
    <row r="187" spans="1:25" s="6" customFormat="1" x14ac:dyDescent="0.2">
      <c r="A187" s="8"/>
      <c r="B187" s="8"/>
      <c r="C187" s="8"/>
      <c r="D187" s="8"/>
      <c r="E187" s="2"/>
      <c r="G187" s="12"/>
      <c r="H187" s="12"/>
      <c r="I187" s="12"/>
      <c r="J187" s="12"/>
      <c r="K187" s="12"/>
      <c r="M187" s="474"/>
      <c r="N187" s="474"/>
      <c r="O187" s="474"/>
      <c r="P187" s="474"/>
      <c r="Q187" s="474"/>
      <c r="R187" s="474"/>
      <c r="S187" s="474"/>
      <c r="T187" s="474"/>
      <c r="U187" s="474"/>
      <c r="V187" s="474"/>
      <c r="W187" s="474"/>
      <c r="X187" s="474"/>
      <c r="Y187" s="474"/>
    </row>
    <row r="188" spans="1:25" s="6" customFormat="1" x14ac:dyDescent="0.2">
      <c r="A188" s="8"/>
      <c r="B188" s="8"/>
      <c r="C188" s="8"/>
      <c r="D188" s="8"/>
      <c r="E188" s="2"/>
      <c r="G188" s="12"/>
      <c r="H188" s="12"/>
      <c r="I188" s="12"/>
      <c r="J188" s="12"/>
      <c r="K188" s="12"/>
      <c r="M188" s="474"/>
      <c r="N188" s="474"/>
      <c r="O188" s="474"/>
      <c r="P188" s="474"/>
      <c r="Q188" s="474"/>
      <c r="R188" s="474"/>
      <c r="S188" s="474"/>
      <c r="T188" s="474"/>
      <c r="U188" s="474"/>
      <c r="V188" s="474"/>
      <c r="W188" s="474"/>
      <c r="X188" s="474"/>
      <c r="Y188" s="474"/>
    </row>
    <row r="189" spans="1:25" s="6" customFormat="1" x14ac:dyDescent="0.2">
      <c r="A189" s="8"/>
      <c r="B189" s="8"/>
      <c r="C189" s="8"/>
      <c r="D189" s="8"/>
      <c r="E189" s="2"/>
      <c r="G189" s="12"/>
      <c r="H189" s="12"/>
      <c r="I189" s="12"/>
      <c r="J189" s="12"/>
      <c r="K189" s="12"/>
      <c r="M189" s="474"/>
      <c r="N189" s="474"/>
      <c r="O189" s="474"/>
      <c r="P189" s="474"/>
      <c r="Q189" s="474"/>
      <c r="R189" s="474"/>
      <c r="S189" s="474"/>
      <c r="T189" s="474"/>
      <c r="U189" s="474"/>
      <c r="V189" s="474"/>
      <c r="W189" s="474"/>
      <c r="X189" s="474"/>
      <c r="Y189" s="474"/>
    </row>
    <row r="190" spans="1:25" s="6" customFormat="1" x14ac:dyDescent="0.2">
      <c r="A190" s="8"/>
      <c r="B190" s="8"/>
      <c r="C190" s="8"/>
      <c r="D190" s="8"/>
      <c r="E190" s="2"/>
      <c r="G190" s="12"/>
      <c r="H190" s="12"/>
      <c r="I190" s="12"/>
      <c r="J190" s="12"/>
      <c r="K190" s="12"/>
      <c r="M190" s="474"/>
      <c r="N190" s="474"/>
      <c r="O190" s="474"/>
      <c r="P190" s="474"/>
      <c r="Q190" s="474"/>
      <c r="R190" s="474"/>
      <c r="S190" s="474"/>
      <c r="T190" s="474"/>
      <c r="U190" s="474"/>
      <c r="V190" s="474"/>
      <c r="W190" s="474"/>
      <c r="X190" s="474"/>
      <c r="Y190" s="474"/>
    </row>
    <row r="191" spans="1:25" s="6" customFormat="1" x14ac:dyDescent="0.2">
      <c r="A191" s="8"/>
      <c r="B191" s="8"/>
      <c r="C191" s="8"/>
      <c r="D191" s="8"/>
      <c r="E191" s="2"/>
      <c r="G191" s="12"/>
      <c r="H191" s="12"/>
      <c r="I191" s="12"/>
      <c r="J191" s="12"/>
      <c r="K191" s="12"/>
      <c r="M191" s="474"/>
      <c r="N191" s="474"/>
      <c r="O191" s="474"/>
      <c r="P191" s="474"/>
      <c r="Q191" s="474"/>
      <c r="R191" s="474"/>
      <c r="S191" s="474"/>
      <c r="T191" s="474"/>
      <c r="U191" s="474"/>
      <c r="V191" s="474"/>
      <c r="W191" s="474"/>
      <c r="X191" s="474"/>
      <c r="Y191" s="474"/>
    </row>
    <row r="192" spans="1:25" s="6" customFormat="1" x14ac:dyDescent="0.2">
      <c r="A192" s="8"/>
      <c r="B192" s="8"/>
      <c r="C192" s="8"/>
      <c r="D192" s="8"/>
      <c r="E192" s="2"/>
      <c r="G192" s="12"/>
      <c r="H192" s="12"/>
      <c r="I192" s="12"/>
      <c r="J192" s="12"/>
      <c r="K192" s="12"/>
      <c r="M192" s="474"/>
      <c r="N192" s="474"/>
      <c r="O192" s="474"/>
      <c r="P192" s="474"/>
      <c r="Q192" s="474"/>
      <c r="R192" s="474"/>
      <c r="S192" s="474"/>
      <c r="T192" s="474"/>
      <c r="U192" s="474"/>
      <c r="V192" s="474"/>
      <c r="W192" s="474"/>
      <c r="X192" s="474"/>
      <c r="Y192" s="474"/>
    </row>
    <row r="193" spans="1:25" s="6" customFormat="1" x14ac:dyDescent="0.2">
      <c r="A193" s="8"/>
      <c r="B193" s="8"/>
      <c r="C193" s="8"/>
      <c r="D193" s="8"/>
      <c r="E193" s="2"/>
      <c r="G193" s="12"/>
      <c r="H193" s="12"/>
      <c r="I193" s="12"/>
      <c r="J193" s="12"/>
      <c r="K193" s="12"/>
      <c r="M193" s="474"/>
      <c r="N193" s="474"/>
      <c r="O193" s="474"/>
      <c r="P193" s="474"/>
      <c r="Q193" s="474"/>
      <c r="R193" s="474"/>
      <c r="S193" s="474"/>
      <c r="T193" s="474"/>
      <c r="U193" s="474"/>
      <c r="V193" s="474"/>
      <c r="W193" s="474"/>
      <c r="X193" s="474"/>
      <c r="Y193" s="474"/>
    </row>
    <row r="194" spans="1:25" s="6" customFormat="1" x14ac:dyDescent="0.2">
      <c r="A194" s="8"/>
      <c r="B194" s="8"/>
      <c r="C194" s="8"/>
      <c r="D194" s="8"/>
      <c r="E194" s="2"/>
      <c r="G194" s="12"/>
      <c r="H194" s="12"/>
      <c r="I194" s="12"/>
      <c r="J194" s="12"/>
      <c r="K194" s="12"/>
      <c r="M194" s="474"/>
      <c r="N194" s="474"/>
      <c r="O194" s="474"/>
      <c r="P194" s="474"/>
      <c r="Q194" s="474"/>
      <c r="R194" s="474"/>
      <c r="S194" s="474"/>
      <c r="T194" s="474"/>
      <c r="U194" s="474"/>
      <c r="V194" s="474"/>
      <c r="W194" s="474"/>
      <c r="X194" s="474"/>
      <c r="Y194" s="474"/>
    </row>
    <row r="195" spans="1:25" s="6" customFormat="1" x14ac:dyDescent="0.2">
      <c r="A195" s="8"/>
      <c r="B195" s="8"/>
      <c r="C195" s="8"/>
      <c r="D195" s="8"/>
      <c r="E195" s="2"/>
      <c r="G195" s="12"/>
      <c r="H195" s="12"/>
      <c r="I195" s="12"/>
      <c r="J195" s="12"/>
      <c r="K195" s="12"/>
      <c r="M195" s="474"/>
      <c r="N195" s="474"/>
      <c r="O195" s="474"/>
      <c r="P195" s="474"/>
      <c r="Q195" s="474"/>
      <c r="R195" s="474"/>
      <c r="S195" s="474"/>
      <c r="T195" s="474"/>
      <c r="U195" s="474"/>
      <c r="V195" s="474"/>
      <c r="W195" s="474"/>
      <c r="X195" s="474"/>
      <c r="Y195" s="474"/>
    </row>
    <row r="196" spans="1:25" s="6" customFormat="1" x14ac:dyDescent="0.2">
      <c r="A196" s="8"/>
      <c r="B196" s="8"/>
      <c r="C196" s="8"/>
      <c r="D196" s="8"/>
      <c r="E196" s="2"/>
      <c r="G196" s="12"/>
      <c r="H196" s="12"/>
      <c r="I196" s="12"/>
      <c r="J196" s="12"/>
      <c r="K196" s="12"/>
      <c r="M196" s="474"/>
      <c r="N196" s="474"/>
      <c r="O196" s="474"/>
      <c r="P196" s="474"/>
      <c r="Q196" s="474"/>
      <c r="R196" s="474"/>
      <c r="S196" s="474"/>
      <c r="T196" s="474"/>
      <c r="U196" s="474"/>
      <c r="V196" s="474"/>
      <c r="W196" s="474"/>
      <c r="X196" s="474"/>
      <c r="Y196" s="474"/>
    </row>
    <row r="197" spans="1:25" s="6" customFormat="1" x14ac:dyDescent="0.2">
      <c r="A197" s="8"/>
      <c r="B197" s="8"/>
      <c r="C197" s="8"/>
      <c r="D197" s="8"/>
      <c r="E197" s="2"/>
      <c r="G197" s="12"/>
      <c r="H197" s="12"/>
      <c r="I197" s="12"/>
      <c r="J197" s="12"/>
      <c r="K197" s="12"/>
      <c r="M197" s="474"/>
      <c r="N197" s="474"/>
      <c r="O197" s="474"/>
      <c r="P197" s="474"/>
      <c r="Q197" s="474"/>
      <c r="R197" s="474"/>
      <c r="S197" s="474"/>
      <c r="T197" s="474"/>
      <c r="U197" s="474"/>
      <c r="V197" s="474"/>
      <c r="W197" s="474"/>
      <c r="X197" s="474"/>
      <c r="Y197" s="474"/>
    </row>
  </sheetData>
  <mergeCells count="24">
    <mergeCell ref="B56:I56"/>
    <mergeCell ref="B57:I57"/>
    <mergeCell ref="B50:I50"/>
    <mergeCell ref="B51:I51"/>
    <mergeCell ref="B52:I52"/>
    <mergeCell ref="B53:I53"/>
    <mergeCell ref="B54:I54"/>
    <mergeCell ref="B55:I55"/>
    <mergeCell ref="B49:I49"/>
    <mergeCell ref="H43:I43"/>
    <mergeCell ref="H44:I44"/>
    <mergeCell ref="H45:I45"/>
    <mergeCell ref="B48:I48"/>
    <mergeCell ref="E7:J7"/>
    <mergeCell ref="N2:X2"/>
    <mergeCell ref="R3:X3"/>
    <mergeCell ref="R4:X4"/>
    <mergeCell ref="R5:X5"/>
    <mergeCell ref="R6:X6"/>
    <mergeCell ref="E2:K2"/>
    <mergeCell ref="E3:K3"/>
    <mergeCell ref="E4:K4"/>
    <mergeCell ref="E5:K5"/>
    <mergeCell ref="E6:K6"/>
  </mergeCells>
  <printOptions horizontalCentered="1" verticalCentered="1"/>
  <pageMargins left="0.15748031496062992" right="0.15748031496062992" top="0.19685039370078741" bottom="0.19685039370078741" header="0.51181102362204722" footer="0.51181102362204722"/>
  <pageSetup scale="44" orientation="landscape" r:id="rId1"/>
  <ignoredErrors>
    <ignoredError sqref="E44:I45 F17:F21 F3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Q206"/>
  <sheetViews>
    <sheetView showGridLines="0" topLeftCell="F10" zoomScaleNormal="100" workbookViewId="0">
      <selection activeCell="F3" sqref="F3:Q3"/>
    </sheetView>
  </sheetViews>
  <sheetFormatPr baseColWidth="10" defaultRowHeight="14.25" x14ac:dyDescent="0.2"/>
  <cols>
    <col min="1" max="1" width="3.140625" style="8" customWidth="1"/>
    <col min="2" max="2" width="3.42578125" style="8" customWidth="1"/>
    <col min="3" max="3" width="4.5703125" style="8" customWidth="1"/>
    <col min="4" max="4" width="1.7109375" style="12" customWidth="1"/>
    <col min="5" max="5" width="2.5703125" style="12" customWidth="1"/>
    <col min="6" max="6" width="62.7109375" style="12" customWidth="1"/>
    <col min="7" max="8" width="12.28515625" style="12" customWidth="1"/>
    <col min="9" max="9" width="7.140625" style="12" customWidth="1"/>
    <col min="10" max="10" width="3.85546875" style="6" hidden="1" customWidth="1"/>
    <col min="11" max="12" width="5.140625" style="6" hidden="1" customWidth="1"/>
    <col min="13" max="13" width="2.140625" style="6" customWidth="1"/>
    <col min="14" max="14" width="2.85546875" style="6" customWidth="1"/>
    <col min="15" max="15" width="52.140625" style="6" bestFit="1" customWidth="1"/>
    <col min="16" max="16384" width="11.42578125" style="12"/>
  </cols>
  <sheetData>
    <row r="2" spans="1:17" ht="19.5" customHeight="1" x14ac:dyDescent="0.3">
      <c r="A2" s="368"/>
      <c r="B2" s="368"/>
      <c r="C2" s="368"/>
      <c r="D2" s="349"/>
      <c r="E2" s="350"/>
      <c r="F2" s="570" t="s">
        <v>38</v>
      </c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1"/>
    </row>
    <row r="3" spans="1:17" ht="15" customHeight="1" x14ac:dyDescent="0.25">
      <c r="A3" s="367"/>
      <c r="B3" s="367"/>
      <c r="C3" s="367"/>
      <c r="D3" s="352"/>
      <c r="E3" s="353"/>
      <c r="F3" s="573" t="s">
        <v>1119</v>
      </c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4"/>
    </row>
    <row r="4" spans="1:17" ht="14.25" customHeight="1" x14ac:dyDescent="0.2">
      <c r="A4" s="366"/>
      <c r="B4" s="366"/>
      <c r="C4" s="366"/>
      <c r="D4" s="355"/>
      <c r="E4" s="356"/>
      <c r="F4" s="576" t="s">
        <v>240</v>
      </c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7"/>
    </row>
    <row r="5" spans="1:17" ht="14.25" customHeight="1" x14ac:dyDescent="0.2">
      <c r="A5" s="366"/>
      <c r="B5" s="366"/>
      <c r="C5" s="366"/>
      <c r="D5" s="355"/>
      <c r="E5" s="356"/>
      <c r="F5" s="576" t="str">
        <f>BALANZA!Q7</f>
        <v>Del 1° de Enero al 31 de marzo de 2016 y 2015</v>
      </c>
      <c r="G5" s="576"/>
      <c r="H5" s="576"/>
      <c r="I5" s="576"/>
      <c r="J5" s="576"/>
      <c r="K5" s="576"/>
      <c r="L5" s="576"/>
      <c r="M5" s="576"/>
      <c r="N5" s="576"/>
      <c r="O5" s="576"/>
      <c r="P5" s="576"/>
      <c r="Q5" s="577"/>
    </row>
    <row r="6" spans="1:17" ht="14.25" customHeight="1" x14ac:dyDescent="0.2">
      <c r="A6" s="366"/>
      <c r="B6" s="366"/>
      <c r="C6" s="366"/>
      <c r="D6" s="355"/>
      <c r="E6" s="356"/>
      <c r="F6" s="576" t="s">
        <v>0</v>
      </c>
      <c r="G6" s="576"/>
      <c r="H6" s="576"/>
      <c r="I6" s="576"/>
      <c r="J6" s="576"/>
      <c r="K6" s="576"/>
      <c r="L6" s="576"/>
      <c r="M6" s="576"/>
      <c r="N6" s="576"/>
      <c r="O6" s="576"/>
      <c r="P6" s="576"/>
      <c r="Q6" s="577"/>
    </row>
    <row r="7" spans="1:17" ht="14.25" customHeight="1" x14ac:dyDescent="0.2">
      <c r="A7" s="52"/>
      <c r="B7" s="52"/>
      <c r="C7" s="52"/>
      <c r="D7" s="358"/>
      <c r="E7" s="52"/>
      <c r="F7" s="567" t="str">
        <f>BALANZA!Q5</f>
        <v>EL COLEGIO DE TLAXCALA, A.C.</v>
      </c>
      <c r="G7" s="567"/>
      <c r="H7" s="567"/>
      <c r="I7" s="567"/>
      <c r="J7" s="567"/>
      <c r="K7" s="567"/>
      <c r="L7" s="567"/>
      <c r="M7" s="567"/>
      <c r="N7" s="567"/>
      <c r="O7" s="567"/>
      <c r="P7" s="567"/>
      <c r="Q7" s="568"/>
    </row>
    <row r="8" spans="1:17" x14ac:dyDescent="0.2">
      <c r="A8" s="98"/>
      <c r="B8" s="98"/>
      <c r="C8" s="98"/>
      <c r="D8" s="312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87"/>
      <c r="Q8" s="313"/>
    </row>
    <row r="9" spans="1:17" ht="12.75" hidden="1" customHeight="1" x14ac:dyDescent="0.2">
      <c r="A9" s="5" t="s">
        <v>12</v>
      </c>
      <c r="B9" s="5" t="s">
        <v>5</v>
      </c>
      <c r="C9" s="5" t="s">
        <v>36</v>
      </c>
      <c r="D9" s="314" t="s">
        <v>3</v>
      </c>
      <c r="E9" s="115"/>
      <c r="F9" s="315" t="s">
        <v>7</v>
      </c>
      <c r="G9" s="315" t="s">
        <v>6</v>
      </c>
      <c r="H9" s="315" t="s">
        <v>8</v>
      </c>
      <c r="I9" s="315"/>
      <c r="J9" s="315" t="s">
        <v>22</v>
      </c>
      <c r="K9" s="315" t="s">
        <v>24</v>
      </c>
      <c r="L9" s="315" t="s">
        <v>25</v>
      </c>
      <c r="M9" s="315" t="s">
        <v>3</v>
      </c>
      <c r="N9" s="315" t="s">
        <v>3</v>
      </c>
      <c r="O9" s="315" t="s">
        <v>9</v>
      </c>
      <c r="P9" s="315" t="s">
        <v>10</v>
      </c>
      <c r="Q9" s="316" t="s">
        <v>11</v>
      </c>
    </row>
    <row r="10" spans="1:17" ht="12.75" customHeight="1" x14ac:dyDescent="0.2">
      <c r="A10" s="5"/>
      <c r="B10" s="5"/>
      <c r="C10" s="5"/>
      <c r="D10" s="314" t="s">
        <v>3</v>
      </c>
      <c r="E10" s="115"/>
      <c r="F10" s="71" t="s">
        <v>3</v>
      </c>
      <c r="G10" s="71" t="s">
        <v>3</v>
      </c>
      <c r="H10" s="71" t="s">
        <v>3</v>
      </c>
      <c r="I10" s="71" t="s">
        <v>3</v>
      </c>
      <c r="J10" s="71" t="s">
        <v>3</v>
      </c>
      <c r="K10" s="71" t="s">
        <v>3</v>
      </c>
      <c r="L10" s="71" t="s">
        <v>3</v>
      </c>
      <c r="M10" s="71" t="s">
        <v>3</v>
      </c>
      <c r="N10" s="71" t="s">
        <v>3</v>
      </c>
      <c r="O10" s="71" t="s">
        <v>3</v>
      </c>
      <c r="P10" s="71" t="s">
        <v>3</v>
      </c>
      <c r="Q10" s="317" t="s">
        <v>3</v>
      </c>
    </row>
    <row r="11" spans="1:17" x14ac:dyDescent="0.2">
      <c r="A11" s="5"/>
      <c r="B11" s="5"/>
      <c r="C11" s="5"/>
      <c r="D11" s="314"/>
      <c r="E11" s="115"/>
      <c r="F11" s="171" t="s">
        <v>40</v>
      </c>
      <c r="G11" s="171">
        <v>2016</v>
      </c>
      <c r="H11" s="171">
        <v>2015</v>
      </c>
      <c r="I11" s="171" t="s">
        <v>3</v>
      </c>
      <c r="J11" s="171" t="s">
        <v>3</v>
      </c>
      <c r="K11" s="171" t="s">
        <v>3</v>
      </c>
      <c r="L11" s="171" t="s">
        <v>3</v>
      </c>
      <c r="M11" s="171" t="s">
        <v>3</v>
      </c>
      <c r="N11" s="171" t="s">
        <v>3</v>
      </c>
      <c r="O11" s="171" t="s">
        <v>40</v>
      </c>
      <c r="P11" s="171">
        <v>2016</v>
      </c>
      <c r="Q11" s="318">
        <v>2015</v>
      </c>
    </row>
    <row r="12" spans="1:17" ht="14.25" customHeight="1" x14ac:dyDescent="0.2">
      <c r="A12" s="5"/>
      <c r="B12" s="5"/>
      <c r="C12" s="115"/>
      <c r="D12" s="441" t="s">
        <v>213</v>
      </c>
      <c r="E12" s="103"/>
      <c r="F12" s="103"/>
      <c r="G12" s="103"/>
      <c r="H12" s="103"/>
      <c r="I12" s="103"/>
      <c r="J12" s="120"/>
      <c r="K12" s="120"/>
      <c r="L12" s="120"/>
      <c r="M12" s="103" t="s">
        <v>224</v>
      </c>
      <c r="N12" s="103"/>
      <c r="O12" s="103"/>
      <c r="P12" s="112"/>
      <c r="Q12" s="427"/>
    </row>
    <row r="13" spans="1:17" x14ac:dyDescent="0.2">
      <c r="A13" s="5"/>
      <c r="B13" s="5"/>
      <c r="C13" s="115"/>
      <c r="D13" s="428"/>
      <c r="E13" s="103"/>
      <c r="F13" s="69"/>
      <c r="G13" s="103"/>
      <c r="H13" s="103"/>
      <c r="I13" s="103"/>
      <c r="J13" s="120"/>
      <c r="K13" s="120"/>
      <c r="L13" s="120"/>
      <c r="M13" s="69"/>
      <c r="N13" s="103"/>
      <c r="O13" s="103"/>
      <c r="P13" s="112"/>
      <c r="Q13" s="427"/>
    </row>
    <row r="14" spans="1:17" ht="14.25" customHeight="1" x14ac:dyDescent="0.2">
      <c r="A14" s="15"/>
      <c r="B14" s="15"/>
      <c r="C14" s="116"/>
      <c r="D14" s="428"/>
      <c r="E14" s="103" t="s">
        <v>155</v>
      </c>
      <c r="F14" s="103"/>
      <c r="G14" s="108">
        <f>SUM(G15:G25)</f>
        <v>5903496</v>
      </c>
      <c r="H14" s="108">
        <f>SUM(H15:H25)</f>
        <v>15928878</v>
      </c>
      <c r="I14" s="103"/>
      <c r="J14" s="120"/>
      <c r="K14" s="120"/>
      <c r="L14" s="120"/>
      <c r="M14" s="69"/>
      <c r="N14" s="103" t="s">
        <v>155</v>
      </c>
      <c r="O14" s="103"/>
      <c r="P14" s="108">
        <f>SUM(P15:P17)</f>
        <v>3173597.36</v>
      </c>
      <c r="Q14" s="429">
        <f>SUM(Q15:Q17)</f>
        <v>3355596.86</v>
      </c>
    </row>
    <row r="15" spans="1:17" ht="14.25" customHeight="1" x14ac:dyDescent="0.2">
      <c r="A15" s="15">
        <v>4</v>
      </c>
      <c r="B15" s="15">
        <v>1</v>
      </c>
      <c r="C15" s="116">
        <v>1</v>
      </c>
      <c r="D15" s="428"/>
      <c r="E15" s="103"/>
      <c r="F15" s="107" t="s">
        <v>41</v>
      </c>
      <c r="G15" s="109">
        <v>0</v>
      </c>
      <c r="H15" s="109">
        <v>0</v>
      </c>
      <c r="I15" s="107"/>
      <c r="J15" s="121">
        <v>1</v>
      </c>
      <c r="K15" s="121">
        <v>2</v>
      </c>
      <c r="L15" s="121">
        <v>3</v>
      </c>
      <c r="M15" s="69"/>
      <c r="N15" s="106"/>
      <c r="O15" s="110" t="s">
        <v>122</v>
      </c>
      <c r="P15" s="109">
        <f>BALANZA!J107</f>
        <v>867420.59</v>
      </c>
      <c r="Q15" s="430">
        <f>BALANZA!G107</f>
        <v>867420.59</v>
      </c>
    </row>
    <row r="16" spans="1:17" ht="14.25" customHeight="1" x14ac:dyDescent="0.2">
      <c r="A16" s="8">
        <v>4</v>
      </c>
      <c r="B16" s="8">
        <v>1</v>
      </c>
      <c r="C16" s="117">
        <v>2</v>
      </c>
      <c r="D16" s="428"/>
      <c r="E16" s="103"/>
      <c r="F16" s="107" t="s">
        <v>214</v>
      </c>
      <c r="G16" s="109">
        <v>0</v>
      </c>
      <c r="H16" s="109">
        <v>0</v>
      </c>
      <c r="I16" s="107"/>
      <c r="J16" s="117">
        <v>1</v>
      </c>
      <c r="K16" s="117">
        <v>2</v>
      </c>
      <c r="L16" s="117">
        <v>4</v>
      </c>
      <c r="M16" s="69"/>
      <c r="N16" s="106"/>
      <c r="O16" s="110" t="s">
        <v>124</v>
      </c>
      <c r="P16" s="109">
        <f>BALANZA!J114</f>
        <v>2306176.77</v>
      </c>
      <c r="Q16" s="430">
        <f>BALANZA!G114</f>
        <v>2488176.27</v>
      </c>
    </row>
    <row r="17" spans="1:17" ht="14.25" customHeight="1" x14ac:dyDescent="0.2">
      <c r="A17" s="8">
        <v>4</v>
      </c>
      <c r="B17" s="8">
        <v>1</v>
      </c>
      <c r="C17" s="117">
        <v>3</v>
      </c>
      <c r="D17" s="428"/>
      <c r="E17" s="104"/>
      <c r="F17" s="107" t="s">
        <v>215</v>
      </c>
      <c r="G17" s="109">
        <v>0</v>
      </c>
      <c r="H17" s="109">
        <v>0</v>
      </c>
      <c r="I17" s="107"/>
      <c r="J17" s="117">
        <v>1</v>
      </c>
      <c r="K17" s="117">
        <v>2</v>
      </c>
      <c r="L17" s="117">
        <v>5</v>
      </c>
      <c r="M17" s="69"/>
      <c r="N17" s="110"/>
      <c r="O17" s="110" t="s">
        <v>242</v>
      </c>
      <c r="P17" s="109">
        <v>0</v>
      </c>
      <c r="Q17" s="430">
        <v>0</v>
      </c>
    </row>
    <row r="18" spans="1:17" ht="14.25" customHeight="1" x14ac:dyDescent="0.2">
      <c r="A18" s="8">
        <v>4</v>
      </c>
      <c r="B18" s="8">
        <v>1</v>
      </c>
      <c r="C18" s="117">
        <v>4</v>
      </c>
      <c r="D18" s="428"/>
      <c r="E18" s="104"/>
      <c r="F18" s="107" t="s">
        <v>43</v>
      </c>
      <c r="G18" s="109">
        <f>BALANZA!J416</f>
        <v>3348711</v>
      </c>
      <c r="H18" s="109">
        <f>BALANZA!G416</f>
        <v>3720212</v>
      </c>
      <c r="I18" s="107"/>
      <c r="J18" s="117"/>
      <c r="K18" s="117"/>
      <c r="L18" s="117"/>
      <c r="M18" s="69"/>
      <c r="N18" s="110"/>
      <c r="O18" s="106"/>
      <c r="P18" s="106"/>
      <c r="Q18" s="431"/>
    </row>
    <row r="19" spans="1:17" ht="14.25" customHeight="1" x14ac:dyDescent="0.2">
      <c r="A19" s="8">
        <v>4</v>
      </c>
      <c r="B19" s="8">
        <v>1</v>
      </c>
      <c r="C19" s="117">
        <v>5</v>
      </c>
      <c r="D19" s="428"/>
      <c r="E19" s="104"/>
      <c r="F19" s="107" t="s">
        <v>44</v>
      </c>
      <c r="G19" s="109">
        <f>BALANZA!J430</f>
        <v>1785</v>
      </c>
      <c r="H19" s="109">
        <f>BALANZA!G430</f>
        <v>4841</v>
      </c>
      <c r="I19" s="107"/>
      <c r="J19" s="117"/>
      <c r="K19" s="117"/>
      <c r="L19" s="117"/>
      <c r="M19" s="69"/>
      <c r="N19" s="103" t="s">
        <v>156</v>
      </c>
      <c r="O19" s="103"/>
      <c r="P19" s="108">
        <f>SUM(P20:P22)</f>
        <v>3173597.36</v>
      </c>
      <c r="Q19" s="429">
        <f>SUM(Q20:Q22)</f>
        <v>3355596.86</v>
      </c>
    </row>
    <row r="20" spans="1:17" ht="14.25" customHeight="1" x14ac:dyDescent="0.2">
      <c r="A20" s="8">
        <v>4</v>
      </c>
      <c r="B20" s="8">
        <v>1</v>
      </c>
      <c r="C20" s="117">
        <v>6</v>
      </c>
      <c r="D20" s="428"/>
      <c r="E20" s="104"/>
      <c r="F20" s="107" t="s">
        <v>45</v>
      </c>
      <c r="G20" s="109">
        <f>BALANZA!J439</f>
        <v>0</v>
      </c>
      <c r="H20" s="109">
        <f>BALANZA!G439</f>
        <v>202545</v>
      </c>
      <c r="I20" s="107"/>
      <c r="J20" s="117">
        <v>1</v>
      </c>
      <c r="K20" s="117">
        <v>2</v>
      </c>
      <c r="L20" s="117">
        <v>3</v>
      </c>
      <c r="M20" s="69"/>
      <c r="N20" s="110"/>
      <c r="O20" s="110" t="s">
        <v>122</v>
      </c>
      <c r="P20" s="109">
        <f>BALANZA!J107</f>
        <v>867420.59</v>
      </c>
      <c r="Q20" s="430">
        <f>BALANZA!G107</f>
        <v>867420.59</v>
      </c>
    </row>
    <row r="21" spans="1:17" ht="14.25" customHeight="1" x14ac:dyDescent="0.2">
      <c r="A21" s="8">
        <v>4</v>
      </c>
      <c r="B21" s="8">
        <v>1</v>
      </c>
      <c r="C21" s="117">
        <v>7</v>
      </c>
      <c r="D21" s="428"/>
      <c r="E21" s="104"/>
      <c r="F21" s="107" t="s">
        <v>46</v>
      </c>
      <c r="G21" s="109">
        <v>0</v>
      </c>
      <c r="H21" s="109">
        <v>0</v>
      </c>
      <c r="I21" s="107"/>
      <c r="J21" s="117">
        <v>1</v>
      </c>
      <c r="K21" s="117">
        <v>2</v>
      </c>
      <c r="L21" s="117">
        <v>4</v>
      </c>
      <c r="M21" s="69"/>
      <c r="N21" s="103"/>
      <c r="O21" s="110" t="s">
        <v>124</v>
      </c>
      <c r="P21" s="109">
        <f>BALANZA!J114</f>
        <v>2306176.77</v>
      </c>
      <c r="Q21" s="430">
        <f>BALANZA!G114</f>
        <v>2488176.27</v>
      </c>
    </row>
    <row r="22" spans="1:17" ht="14.25" customHeight="1" x14ac:dyDescent="0.2">
      <c r="A22" s="8">
        <v>4</v>
      </c>
      <c r="B22" s="8">
        <v>1</v>
      </c>
      <c r="C22" s="117">
        <v>9</v>
      </c>
      <c r="D22" s="428"/>
      <c r="E22" s="104"/>
      <c r="F22" s="107" t="s">
        <v>49</v>
      </c>
      <c r="G22" s="109">
        <v>0</v>
      </c>
      <c r="H22" s="109">
        <v>0</v>
      </c>
      <c r="I22" s="107"/>
      <c r="J22" s="117">
        <v>1</v>
      </c>
      <c r="K22" s="117">
        <v>2</v>
      </c>
      <c r="L22" s="117">
        <v>5</v>
      </c>
      <c r="M22" s="69"/>
      <c r="N22" s="106"/>
      <c r="O22" s="110" t="s">
        <v>225</v>
      </c>
      <c r="P22" s="109">
        <v>0</v>
      </c>
      <c r="Q22" s="430">
        <v>0</v>
      </c>
    </row>
    <row r="23" spans="1:17" ht="14.25" customHeight="1" x14ac:dyDescent="0.2">
      <c r="A23" s="8">
        <v>4</v>
      </c>
      <c r="B23" s="8">
        <v>2</v>
      </c>
      <c r="C23" s="117">
        <v>1</v>
      </c>
      <c r="D23" s="428"/>
      <c r="E23" s="103"/>
      <c r="F23" s="107" t="s">
        <v>51</v>
      </c>
      <c r="G23" s="109">
        <f>BALANZA!J460</f>
        <v>2553000</v>
      </c>
      <c r="H23" s="109">
        <f>BALANZA!G460</f>
        <v>12001280</v>
      </c>
      <c r="I23" s="107"/>
      <c r="J23" s="117"/>
      <c r="K23" s="117"/>
      <c r="L23" s="117"/>
      <c r="M23" s="69"/>
      <c r="N23" s="110"/>
      <c r="O23" s="106"/>
      <c r="P23" s="106"/>
      <c r="Q23" s="431"/>
    </row>
    <row r="24" spans="1:17" ht="14.25" customHeight="1" x14ac:dyDescent="0.2">
      <c r="A24" s="8">
        <v>4</v>
      </c>
      <c r="B24" s="8">
        <v>2</v>
      </c>
      <c r="C24" s="117">
        <v>2</v>
      </c>
      <c r="D24" s="428"/>
      <c r="E24" s="104"/>
      <c r="F24" s="107" t="s">
        <v>216</v>
      </c>
      <c r="G24" s="109">
        <v>0</v>
      </c>
      <c r="H24" s="109">
        <v>0</v>
      </c>
      <c r="I24" s="107"/>
      <c r="J24" s="117"/>
      <c r="K24" s="117"/>
      <c r="L24" s="117"/>
      <c r="M24" s="69"/>
      <c r="N24" s="103" t="s">
        <v>226</v>
      </c>
      <c r="O24" s="103"/>
      <c r="P24" s="108">
        <f>P14-P19</f>
        <v>0</v>
      </c>
      <c r="Q24" s="429">
        <f>Q14-Q19</f>
        <v>0</v>
      </c>
    </row>
    <row r="25" spans="1:17" ht="14.25" customHeight="1" x14ac:dyDescent="0.2">
      <c r="A25" s="8" t="s">
        <v>3</v>
      </c>
      <c r="B25" s="8" t="s">
        <v>3</v>
      </c>
      <c r="C25" s="117"/>
      <c r="D25" s="428"/>
      <c r="E25" s="103"/>
      <c r="F25" s="107" t="s">
        <v>217</v>
      </c>
      <c r="G25" s="109">
        <v>0</v>
      </c>
      <c r="H25" s="109">
        <v>0</v>
      </c>
      <c r="I25" s="70"/>
      <c r="J25" s="117"/>
      <c r="K25" s="117"/>
      <c r="L25" s="117"/>
      <c r="M25" s="69"/>
      <c r="N25" s="106"/>
      <c r="O25" s="106"/>
      <c r="P25" s="106"/>
      <c r="Q25" s="431"/>
    </row>
    <row r="26" spans="1:17" ht="14.25" customHeight="1" x14ac:dyDescent="0.2">
      <c r="C26" s="117"/>
      <c r="D26" s="428"/>
      <c r="E26" s="103"/>
      <c r="F26" s="69"/>
      <c r="G26" s="110"/>
      <c r="H26" s="110"/>
      <c r="I26" s="103"/>
      <c r="J26" s="117"/>
      <c r="K26" s="117"/>
      <c r="L26" s="117"/>
      <c r="M26" s="106"/>
      <c r="N26" s="106"/>
      <c r="O26" s="106"/>
      <c r="P26" s="106"/>
      <c r="Q26" s="431"/>
    </row>
    <row r="27" spans="1:17" ht="14.25" customHeight="1" x14ac:dyDescent="0.2">
      <c r="C27" s="117"/>
      <c r="D27" s="428"/>
      <c r="E27" s="103" t="s">
        <v>156</v>
      </c>
      <c r="F27" s="103"/>
      <c r="G27" s="108">
        <f>SUM(G28:G43)</f>
        <v>5431090</v>
      </c>
      <c r="H27" s="108">
        <f>SUM(H28:H43)</f>
        <v>16196320</v>
      </c>
      <c r="I27" s="103"/>
      <c r="J27" s="117"/>
      <c r="K27" s="117"/>
      <c r="L27" s="117"/>
      <c r="M27" s="103" t="s">
        <v>227</v>
      </c>
      <c r="N27" s="103"/>
      <c r="O27" s="103"/>
      <c r="P27" s="112"/>
      <c r="Q27" s="427"/>
    </row>
    <row r="28" spans="1:17" ht="14.25" customHeight="1" x14ac:dyDescent="0.2">
      <c r="A28" s="8">
        <v>5</v>
      </c>
      <c r="B28" s="8">
        <v>1</v>
      </c>
      <c r="C28" s="117">
        <v>1</v>
      </c>
      <c r="D28" s="428"/>
      <c r="E28" s="105"/>
      <c r="F28" s="107" t="s">
        <v>218</v>
      </c>
      <c r="G28" s="109">
        <f>BALANZA!J494</f>
        <v>2835746</v>
      </c>
      <c r="H28" s="109">
        <f>BALANZA!G494</f>
        <v>11693719</v>
      </c>
      <c r="I28" s="107"/>
      <c r="J28" s="117"/>
      <c r="K28" s="117"/>
      <c r="L28" s="117"/>
      <c r="M28" s="69"/>
      <c r="N28" s="103"/>
      <c r="O28" s="103"/>
      <c r="P28" s="112"/>
      <c r="Q28" s="427"/>
    </row>
    <row r="29" spans="1:17" ht="14.25" customHeight="1" x14ac:dyDescent="0.2">
      <c r="A29" s="8">
        <v>5</v>
      </c>
      <c r="B29" s="8">
        <v>1</v>
      </c>
      <c r="C29" s="117">
        <v>2</v>
      </c>
      <c r="D29" s="428"/>
      <c r="E29" s="105"/>
      <c r="F29" s="107" t="s">
        <v>63</v>
      </c>
      <c r="G29" s="109">
        <f>BALANZA!J509</f>
        <v>110976</v>
      </c>
      <c r="H29" s="109">
        <f>BALANZA!G509</f>
        <v>554279</v>
      </c>
      <c r="I29" s="107"/>
      <c r="J29" s="117"/>
      <c r="K29" s="117"/>
      <c r="L29" s="117"/>
      <c r="M29" s="106"/>
      <c r="N29" s="103" t="s">
        <v>155</v>
      </c>
      <c r="O29" s="103"/>
      <c r="P29" s="108">
        <f>P30+P33+P34</f>
        <v>0</v>
      </c>
      <c r="Q29" s="429">
        <f>Q30+Q33+Q34</f>
        <v>0</v>
      </c>
    </row>
    <row r="30" spans="1:17" ht="14.25" customHeight="1" x14ac:dyDescent="0.2">
      <c r="A30" s="8">
        <v>5</v>
      </c>
      <c r="B30" s="8">
        <v>1</v>
      </c>
      <c r="C30" s="117">
        <v>3</v>
      </c>
      <c r="D30" s="428"/>
      <c r="E30" s="105"/>
      <c r="F30" s="107" t="s">
        <v>64</v>
      </c>
      <c r="G30" s="109">
        <f>BALANZA!J541</f>
        <v>2305868</v>
      </c>
      <c r="H30" s="109">
        <f>BALANZA!G541</f>
        <v>3948322</v>
      </c>
      <c r="I30" s="107"/>
      <c r="J30" s="117"/>
      <c r="K30" s="117"/>
      <c r="L30" s="117"/>
      <c r="M30" s="69"/>
      <c r="N30" s="106"/>
      <c r="O30" s="110" t="s">
        <v>228</v>
      </c>
      <c r="P30" s="109">
        <f>SUM(P31:P32)</f>
        <v>0</v>
      </c>
      <c r="Q30" s="430">
        <f>SUM(Q31:Q32)</f>
        <v>0</v>
      </c>
    </row>
    <row r="31" spans="1:17" ht="14.25" customHeight="1" x14ac:dyDescent="0.2">
      <c r="A31" s="8">
        <v>5</v>
      </c>
      <c r="B31" s="8">
        <v>2</v>
      </c>
      <c r="C31" s="117">
        <v>1</v>
      </c>
      <c r="D31" s="428"/>
      <c r="E31" s="103"/>
      <c r="F31" s="107" t="s">
        <v>66</v>
      </c>
      <c r="G31" s="109">
        <v>0</v>
      </c>
      <c r="H31" s="109">
        <v>0</v>
      </c>
      <c r="I31" s="107"/>
      <c r="J31" s="117"/>
      <c r="K31" s="117"/>
      <c r="L31" s="117"/>
      <c r="M31" s="69"/>
      <c r="N31" s="105"/>
      <c r="O31" s="110" t="s">
        <v>229</v>
      </c>
      <c r="P31" s="109">
        <v>0</v>
      </c>
      <c r="Q31" s="430">
        <v>0</v>
      </c>
    </row>
    <row r="32" spans="1:17" ht="14.25" customHeight="1" x14ac:dyDescent="0.2">
      <c r="A32" s="8">
        <v>5</v>
      </c>
      <c r="B32" s="8">
        <v>2</v>
      </c>
      <c r="C32" s="117">
        <v>2</v>
      </c>
      <c r="D32" s="428"/>
      <c r="E32" s="105"/>
      <c r="F32" s="107" t="s">
        <v>219</v>
      </c>
      <c r="G32" s="109">
        <v>0</v>
      </c>
      <c r="H32" s="109">
        <v>0</v>
      </c>
      <c r="I32" s="107"/>
      <c r="J32" s="117"/>
      <c r="K32" s="117"/>
      <c r="L32" s="117"/>
      <c r="M32" s="69"/>
      <c r="N32" s="105"/>
      <c r="O32" s="110" t="s">
        <v>230</v>
      </c>
      <c r="P32" s="109">
        <v>0</v>
      </c>
      <c r="Q32" s="430">
        <v>0</v>
      </c>
    </row>
    <row r="33" spans="1:17" ht="14.25" customHeight="1" x14ac:dyDescent="0.2">
      <c r="A33" s="8">
        <v>5</v>
      </c>
      <c r="B33" s="8">
        <v>2</v>
      </c>
      <c r="C33" s="117">
        <v>3</v>
      </c>
      <c r="D33" s="428"/>
      <c r="E33" s="105"/>
      <c r="F33" s="107" t="s">
        <v>220</v>
      </c>
      <c r="G33" s="109">
        <v>0</v>
      </c>
      <c r="H33" s="109">
        <v>0</v>
      </c>
      <c r="I33" s="107"/>
      <c r="J33" s="117"/>
      <c r="K33" s="117"/>
      <c r="L33" s="117"/>
      <c r="M33" s="69"/>
      <c r="N33" s="105"/>
      <c r="O33" s="110" t="s">
        <v>231</v>
      </c>
      <c r="P33" s="109">
        <v>0</v>
      </c>
      <c r="Q33" s="430">
        <v>0</v>
      </c>
    </row>
    <row r="34" spans="1:17" ht="14.25" customHeight="1" x14ac:dyDescent="0.2">
      <c r="A34" s="8">
        <v>5</v>
      </c>
      <c r="B34" s="8">
        <v>2</v>
      </c>
      <c r="C34" s="117">
        <v>4</v>
      </c>
      <c r="D34" s="428"/>
      <c r="E34" s="105"/>
      <c r="F34" s="107" t="s">
        <v>69</v>
      </c>
      <c r="G34" s="109">
        <v>0</v>
      </c>
      <c r="H34" s="109">
        <v>0</v>
      </c>
      <c r="I34" s="107"/>
      <c r="J34" s="117"/>
      <c r="K34" s="117"/>
      <c r="L34" s="117"/>
      <c r="M34" s="69"/>
      <c r="N34" s="110"/>
      <c r="O34" s="110" t="s">
        <v>232</v>
      </c>
      <c r="P34" s="109">
        <v>0</v>
      </c>
      <c r="Q34" s="430">
        <v>0</v>
      </c>
    </row>
    <row r="35" spans="1:17" ht="14.25" customHeight="1" x14ac:dyDescent="0.2">
      <c r="A35" s="8">
        <v>5</v>
      </c>
      <c r="B35" s="8">
        <v>2</v>
      </c>
      <c r="C35" s="117">
        <v>5</v>
      </c>
      <c r="D35" s="428"/>
      <c r="E35" s="105"/>
      <c r="F35" s="107" t="s">
        <v>70</v>
      </c>
      <c r="G35" s="109">
        <v>0</v>
      </c>
      <c r="H35" s="109">
        <v>0</v>
      </c>
      <c r="I35" s="107"/>
      <c r="J35" s="117"/>
      <c r="K35" s="117"/>
      <c r="L35" s="117"/>
      <c r="M35" s="69"/>
      <c r="N35" s="110"/>
      <c r="O35" s="106"/>
      <c r="P35" s="106"/>
      <c r="Q35" s="431"/>
    </row>
    <row r="36" spans="1:17" ht="14.25" customHeight="1" x14ac:dyDescent="0.2">
      <c r="A36" s="8">
        <v>5</v>
      </c>
      <c r="B36" s="8">
        <v>2</v>
      </c>
      <c r="C36" s="117">
        <v>6</v>
      </c>
      <c r="D36" s="428"/>
      <c r="E36" s="105"/>
      <c r="F36" s="107" t="s">
        <v>71</v>
      </c>
      <c r="G36" s="109">
        <v>0</v>
      </c>
      <c r="H36" s="109">
        <v>0</v>
      </c>
      <c r="I36" s="107"/>
      <c r="J36" s="117"/>
      <c r="K36" s="117"/>
      <c r="L36" s="117"/>
      <c r="M36" s="69"/>
      <c r="N36" s="103" t="s">
        <v>156</v>
      </c>
      <c r="O36" s="103"/>
      <c r="P36" s="108">
        <f>P37+P40+P41</f>
        <v>0</v>
      </c>
      <c r="Q36" s="429">
        <f>Q37+Q40+Q41</f>
        <v>0</v>
      </c>
    </row>
    <row r="37" spans="1:17" ht="14.25" customHeight="1" x14ac:dyDescent="0.2">
      <c r="A37" s="8">
        <v>5</v>
      </c>
      <c r="B37" s="8">
        <v>2</v>
      </c>
      <c r="C37" s="117">
        <v>7</v>
      </c>
      <c r="D37" s="428"/>
      <c r="E37" s="105"/>
      <c r="F37" s="107" t="s">
        <v>72</v>
      </c>
      <c r="G37" s="109">
        <v>0</v>
      </c>
      <c r="H37" s="109">
        <v>0</v>
      </c>
      <c r="I37" s="107"/>
      <c r="J37" s="117"/>
      <c r="K37" s="117"/>
      <c r="L37" s="117"/>
      <c r="M37" s="106"/>
      <c r="N37" s="106"/>
      <c r="O37" s="110" t="s">
        <v>233</v>
      </c>
      <c r="P37" s="109">
        <f>SUM(P38:P39)</f>
        <v>0</v>
      </c>
      <c r="Q37" s="430">
        <f>SUM(Q38:Q39)</f>
        <v>0</v>
      </c>
    </row>
    <row r="38" spans="1:17" ht="14.25" customHeight="1" x14ac:dyDescent="0.2">
      <c r="A38" s="8">
        <v>5</v>
      </c>
      <c r="B38" s="8">
        <v>2</v>
      </c>
      <c r="C38" s="117">
        <v>8</v>
      </c>
      <c r="D38" s="428"/>
      <c r="E38" s="105"/>
      <c r="F38" s="107" t="s">
        <v>73</v>
      </c>
      <c r="G38" s="109">
        <v>0</v>
      </c>
      <c r="H38" s="109">
        <v>0</v>
      </c>
      <c r="I38" s="107"/>
      <c r="J38" s="117"/>
      <c r="K38" s="117"/>
      <c r="L38" s="117"/>
      <c r="M38" s="69"/>
      <c r="N38" s="106"/>
      <c r="O38" s="110" t="s">
        <v>229</v>
      </c>
      <c r="P38" s="109">
        <v>0</v>
      </c>
      <c r="Q38" s="430">
        <v>0</v>
      </c>
    </row>
    <row r="39" spans="1:17" ht="14.25" customHeight="1" x14ac:dyDescent="0.2">
      <c r="A39" s="8">
        <v>5</v>
      </c>
      <c r="B39" s="8">
        <v>2</v>
      </c>
      <c r="C39" s="117">
        <v>9</v>
      </c>
      <c r="D39" s="428"/>
      <c r="E39" s="105"/>
      <c r="F39" s="107" t="s">
        <v>74</v>
      </c>
      <c r="G39" s="109">
        <v>0</v>
      </c>
      <c r="H39" s="109">
        <v>0</v>
      </c>
      <c r="I39" s="107"/>
      <c r="J39" s="117"/>
      <c r="K39" s="117"/>
      <c r="L39" s="117"/>
      <c r="M39" s="69"/>
      <c r="N39" s="105"/>
      <c r="O39" s="110" t="s">
        <v>230</v>
      </c>
      <c r="P39" s="109">
        <v>0</v>
      </c>
      <c r="Q39" s="430">
        <v>0</v>
      </c>
    </row>
    <row r="40" spans="1:17" ht="14.25" customHeight="1" x14ac:dyDescent="0.2">
      <c r="A40" s="8">
        <v>5</v>
      </c>
      <c r="B40" s="8">
        <v>3</v>
      </c>
      <c r="C40" s="117">
        <v>1</v>
      </c>
      <c r="D40" s="428"/>
      <c r="E40" s="105"/>
      <c r="F40" s="107" t="s">
        <v>221</v>
      </c>
      <c r="G40" s="109">
        <v>0</v>
      </c>
      <c r="H40" s="109">
        <v>0</v>
      </c>
      <c r="I40" s="107"/>
      <c r="J40" s="117"/>
      <c r="K40" s="117"/>
      <c r="L40" s="117"/>
      <c r="M40" s="69"/>
      <c r="N40" s="105"/>
      <c r="O40" s="110" t="s">
        <v>234</v>
      </c>
      <c r="P40" s="109">
        <v>0</v>
      </c>
      <c r="Q40" s="430">
        <v>0</v>
      </c>
    </row>
    <row r="41" spans="1:17" x14ac:dyDescent="0.2">
      <c r="A41" s="8">
        <v>5</v>
      </c>
      <c r="B41" s="8">
        <v>3</v>
      </c>
      <c r="C41" s="117">
        <v>2</v>
      </c>
      <c r="D41" s="428"/>
      <c r="E41" s="103"/>
      <c r="F41" s="107" t="s">
        <v>202</v>
      </c>
      <c r="G41" s="109">
        <v>0</v>
      </c>
      <c r="H41" s="109">
        <v>0</v>
      </c>
      <c r="I41" s="107"/>
      <c r="J41" s="117"/>
      <c r="K41" s="117"/>
      <c r="L41" s="117"/>
      <c r="M41" s="69"/>
      <c r="N41" s="105"/>
      <c r="O41" s="110" t="s">
        <v>235</v>
      </c>
      <c r="P41" s="109">
        <v>0</v>
      </c>
      <c r="Q41" s="430">
        <v>0</v>
      </c>
    </row>
    <row r="42" spans="1:17" ht="14.25" customHeight="1" x14ac:dyDescent="0.2">
      <c r="A42" s="8">
        <v>5</v>
      </c>
      <c r="B42" s="8">
        <v>3</v>
      </c>
      <c r="C42" s="117">
        <v>3</v>
      </c>
      <c r="D42" s="428"/>
      <c r="E42" s="105"/>
      <c r="F42" s="107" t="s">
        <v>77</v>
      </c>
      <c r="G42" s="109">
        <v>0</v>
      </c>
      <c r="H42" s="109">
        <v>0</v>
      </c>
      <c r="I42" s="107"/>
      <c r="J42" s="117"/>
      <c r="K42" s="117"/>
      <c r="L42" s="117"/>
      <c r="M42" s="69"/>
      <c r="N42" s="110"/>
      <c r="O42" s="106"/>
      <c r="P42" s="106"/>
      <c r="Q42" s="431"/>
    </row>
    <row r="43" spans="1:17" ht="14.25" customHeight="1" x14ac:dyDescent="0.2">
      <c r="C43" s="117"/>
      <c r="D43" s="428"/>
      <c r="E43" s="105"/>
      <c r="F43" s="107" t="s">
        <v>222</v>
      </c>
      <c r="G43" s="109">
        <f>BALANZA!J674</f>
        <v>178500</v>
      </c>
      <c r="H43" s="109">
        <f>BALANZA!G674</f>
        <v>0</v>
      </c>
      <c r="I43" s="107"/>
      <c r="J43" s="117"/>
      <c r="K43" s="117"/>
      <c r="L43" s="117"/>
      <c r="M43" s="69"/>
      <c r="N43" s="103" t="s">
        <v>236</v>
      </c>
      <c r="O43" s="103"/>
      <c r="P43" s="108">
        <f>P29-P36</f>
        <v>0</v>
      </c>
      <c r="Q43" s="429">
        <f>Q29-Q36</f>
        <v>0</v>
      </c>
    </row>
    <row r="44" spans="1:17" ht="14.25" customHeight="1" x14ac:dyDescent="0.2">
      <c r="C44" s="117"/>
      <c r="D44" s="428"/>
      <c r="E44" s="105"/>
      <c r="F44" s="106"/>
      <c r="G44" s="106"/>
      <c r="H44" s="106"/>
      <c r="I44" s="106"/>
      <c r="J44" s="117"/>
      <c r="K44" s="117"/>
      <c r="L44" s="117"/>
      <c r="M44" s="69"/>
      <c r="N44" s="110"/>
      <c r="O44" s="110"/>
      <c r="P44" s="112"/>
      <c r="Q44" s="427"/>
    </row>
    <row r="45" spans="1:17" ht="14.25" customHeight="1" x14ac:dyDescent="0.2">
      <c r="C45" s="117"/>
      <c r="D45" s="428"/>
      <c r="E45" s="103"/>
      <c r="F45" s="69"/>
      <c r="G45" s="110"/>
      <c r="H45" s="110"/>
      <c r="I45" s="103"/>
      <c r="J45" s="117"/>
      <c r="K45" s="117"/>
      <c r="L45" s="117"/>
      <c r="M45" s="69"/>
      <c r="N45" s="110"/>
      <c r="O45" s="110"/>
      <c r="P45" s="112"/>
      <c r="Q45" s="427"/>
    </row>
    <row r="46" spans="1:17" ht="14.25" customHeight="1" x14ac:dyDescent="0.2">
      <c r="C46" s="117"/>
      <c r="D46" s="432"/>
      <c r="E46" s="103" t="s">
        <v>223</v>
      </c>
      <c r="F46" s="103"/>
      <c r="G46" s="111">
        <f>G14-G27</f>
        <v>472406</v>
      </c>
      <c r="H46" s="111">
        <f>H14-H27</f>
        <v>-267442</v>
      </c>
      <c r="I46" s="103"/>
      <c r="J46" s="117"/>
      <c r="K46" s="117"/>
      <c r="L46" s="117"/>
      <c r="M46" s="103" t="s">
        <v>237</v>
      </c>
      <c r="N46" s="114"/>
      <c r="O46" s="114"/>
      <c r="P46" s="111">
        <f>+BALANZA!H4-BALANZA!I4</f>
        <v>-4207384</v>
      </c>
      <c r="Q46" s="433">
        <v>1833612</v>
      </c>
    </row>
    <row r="47" spans="1:17" ht="14.25" customHeight="1" x14ac:dyDescent="0.2">
      <c r="D47" s="347"/>
      <c r="E47" s="40"/>
      <c r="F47" s="40"/>
      <c r="G47" s="37"/>
      <c r="H47" s="37"/>
      <c r="I47" s="30"/>
      <c r="J47" s="117"/>
      <c r="K47" s="117"/>
      <c r="L47" s="117"/>
      <c r="M47" s="113"/>
      <c r="N47" s="113"/>
      <c r="O47" s="113"/>
      <c r="P47" s="111"/>
      <c r="Q47" s="433"/>
    </row>
    <row r="48" spans="1:17" ht="14.25" customHeight="1" x14ac:dyDescent="0.2">
      <c r="D48" s="347"/>
      <c r="E48" s="40"/>
      <c r="F48" s="40"/>
      <c r="G48" s="37"/>
      <c r="H48" s="37"/>
      <c r="I48" s="30"/>
      <c r="J48" s="117"/>
      <c r="K48" s="117"/>
      <c r="L48" s="117"/>
      <c r="M48" s="103" t="s">
        <v>238</v>
      </c>
      <c r="N48" s="114"/>
      <c r="O48" s="114"/>
      <c r="P48" s="111">
        <f>+BALANZA!G4</f>
        <v>9755587</v>
      </c>
      <c r="Q48" s="434">
        <v>783371</v>
      </c>
    </row>
    <row r="49" spans="1:17" ht="14.25" customHeight="1" x14ac:dyDescent="0.2">
      <c r="D49" s="348"/>
      <c r="E49" s="435"/>
      <c r="F49" s="435"/>
      <c r="G49" s="325"/>
      <c r="H49" s="325"/>
      <c r="I49" s="326"/>
      <c r="J49" s="323"/>
      <c r="K49" s="323"/>
      <c r="L49" s="323"/>
      <c r="M49" s="436" t="s">
        <v>239</v>
      </c>
      <c r="N49" s="437"/>
      <c r="O49" s="437"/>
      <c r="P49" s="438">
        <f>+P46+P48</f>
        <v>5548203</v>
      </c>
      <c r="Q49" s="439">
        <f>+Q46+Q48</f>
        <v>2616983</v>
      </c>
    </row>
    <row r="50" spans="1:17" x14ac:dyDescent="0.2">
      <c r="D50" s="29"/>
      <c r="E50" s="42"/>
      <c r="F50" s="43"/>
      <c r="G50" s="43"/>
      <c r="H50" s="43"/>
      <c r="I50" s="30"/>
      <c r="J50" s="120"/>
      <c r="K50" s="120"/>
      <c r="L50" s="120"/>
      <c r="M50" s="44"/>
      <c r="N50" s="42"/>
      <c r="O50" s="43"/>
    </row>
    <row r="51" spans="1:17" x14ac:dyDescent="0.2">
      <c r="D51" s="419" t="s">
        <v>3</v>
      </c>
      <c r="E51" s="419" t="s">
        <v>152</v>
      </c>
      <c r="F51" s="419"/>
      <c r="G51" s="419"/>
      <c r="H51" s="419"/>
      <c r="I51" s="419"/>
      <c r="J51" s="440"/>
      <c r="K51" s="440"/>
      <c r="L51" s="440"/>
      <c r="M51" s="419"/>
      <c r="N51" s="419"/>
      <c r="O51" s="419"/>
      <c r="P51" s="402"/>
      <c r="Q51" s="402"/>
    </row>
    <row r="52" spans="1:17" x14ac:dyDescent="0.2">
      <c r="D52" s="29"/>
      <c r="E52" s="42"/>
      <c r="F52" s="43"/>
      <c r="G52" s="43"/>
      <c r="H52" s="43"/>
      <c r="I52" s="45"/>
      <c r="J52" s="122"/>
      <c r="K52" s="122"/>
      <c r="L52" s="122"/>
      <c r="M52" s="44"/>
      <c r="N52" s="46"/>
      <c r="O52" s="43"/>
    </row>
    <row r="53" spans="1:17" x14ac:dyDescent="0.2">
      <c r="D53" s="29"/>
      <c r="E53" s="42"/>
      <c r="F53" s="43"/>
      <c r="G53" s="43"/>
      <c r="H53" s="43"/>
      <c r="I53" s="45"/>
      <c r="J53" s="122"/>
      <c r="K53" s="122"/>
      <c r="L53" s="122"/>
      <c r="M53" s="44"/>
      <c r="N53" s="46"/>
      <c r="O53" s="43"/>
    </row>
    <row r="54" spans="1:17" x14ac:dyDescent="0.2">
      <c r="D54" s="99" t="s">
        <v>3</v>
      </c>
      <c r="E54" s="77" t="s">
        <v>3</v>
      </c>
      <c r="F54" s="100" t="str">
        <f>BALANZA!Q1</f>
        <v>Dr. Alfredo Cuecuecha Mendoza</v>
      </c>
      <c r="G54" s="43"/>
      <c r="H54" s="43"/>
      <c r="I54" s="43"/>
      <c r="J54" s="123"/>
      <c r="K54" s="123"/>
      <c r="L54" s="123"/>
      <c r="M54" s="578" t="s">
        <v>3</v>
      </c>
      <c r="N54" s="578"/>
      <c r="O54" s="100" t="str">
        <f>BALANZA!Q3</f>
        <v>C.P. José Santiago Ortega Vega</v>
      </c>
    </row>
    <row r="55" spans="1:17" ht="14.25" customHeight="1" x14ac:dyDescent="0.2">
      <c r="D55" s="101" t="s">
        <v>3</v>
      </c>
      <c r="E55" s="53"/>
      <c r="F55" s="157" t="str">
        <f>BALANZA!Q2</f>
        <v>Presidente de la Junta de Gobierno</v>
      </c>
      <c r="G55" s="47"/>
      <c r="H55" s="47"/>
      <c r="I55" s="47"/>
      <c r="J55" s="124"/>
      <c r="K55" s="124"/>
      <c r="L55" s="124"/>
      <c r="M55" s="580" t="s">
        <v>3</v>
      </c>
      <c r="N55" s="580"/>
      <c r="O55" s="101" t="str">
        <f>BALANZA!Q4</f>
        <v>Director Administrativo</v>
      </c>
    </row>
    <row r="56" spans="1:17" x14ac:dyDescent="0.2">
      <c r="D56" s="2"/>
      <c r="F56" s="9"/>
      <c r="G56" s="9"/>
      <c r="H56" s="9"/>
      <c r="I56" s="9"/>
      <c r="J56" s="27"/>
      <c r="K56" s="27"/>
      <c r="L56" s="27"/>
      <c r="M56" s="27"/>
      <c r="N56" s="27"/>
    </row>
    <row r="57" spans="1:17" x14ac:dyDescent="0.2">
      <c r="D57" s="2"/>
      <c r="F57" s="9"/>
      <c r="G57" s="9"/>
      <c r="H57" s="9"/>
      <c r="I57" s="9"/>
      <c r="J57" s="27"/>
      <c r="K57" s="27"/>
      <c r="L57" s="27"/>
      <c r="M57" s="27"/>
      <c r="N57" s="27"/>
    </row>
    <row r="58" spans="1:17" x14ac:dyDescent="0.2">
      <c r="A58" s="10" t="s">
        <v>23</v>
      </c>
      <c r="D58" s="2"/>
      <c r="F58" s="9"/>
      <c r="G58" s="9"/>
      <c r="H58" s="9"/>
      <c r="I58" s="9"/>
      <c r="J58" s="8" t="s">
        <v>23</v>
      </c>
      <c r="K58" s="8"/>
      <c r="L58" s="8"/>
      <c r="M58" s="2"/>
      <c r="N58" s="27"/>
    </row>
    <row r="59" spans="1:17" x14ac:dyDescent="0.2">
      <c r="A59" s="8" t="s">
        <v>12</v>
      </c>
      <c r="B59" s="10" t="s">
        <v>13</v>
      </c>
      <c r="D59" s="2"/>
      <c r="F59" s="9"/>
      <c r="G59" s="9"/>
      <c r="H59" s="9"/>
      <c r="I59" s="9"/>
      <c r="J59" s="8" t="s">
        <v>22</v>
      </c>
      <c r="K59" s="8" t="s">
        <v>13</v>
      </c>
      <c r="L59" s="8"/>
      <c r="M59" s="2"/>
      <c r="N59" s="27"/>
    </row>
    <row r="60" spans="1:17" x14ac:dyDescent="0.2">
      <c r="A60" s="8" t="s">
        <v>5</v>
      </c>
      <c r="B60" s="10" t="s">
        <v>14</v>
      </c>
      <c r="D60" s="2"/>
      <c r="F60" s="9"/>
      <c r="G60" s="9"/>
      <c r="H60" s="9"/>
      <c r="I60" s="9"/>
      <c r="J60" s="8" t="s">
        <v>24</v>
      </c>
      <c r="K60" s="8" t="s">
        <v>14</v>
      </c>
      <c r="L60" s="8"/>
      <c r="M60" s="2"/>
      <c r="N60" s="27"/>
    </row>
    <row r="61" spans="1:17" x14ac:dyDescent="0.2">
      <c r="A61" s="8" t="s">
        <v>15</v>
      </c>
      <c r="B61" s="10" t="s">
        <v>16</v>
      </c>
      <c r="D61" s="2"/>
      <c r="F61" s="9"/>
      <c r="G61" s="9"/>
      <c r="H61" s="9"/>
      <c r="I61" s="9"/>
      <c r="J61" s="8" t="s">
        <v>25</v>
      </c>
      <c r="K61" s="8" t="s">
        <v>16</v>
      </c>
      <c r="L61" s="8"/>
      <c r="M61" s="2"/>
      <c r="N61" s="27"/>
    </row>
    <row r="62" spans="1:17" x14ac:dyDescent="0.2">
      <c r="A62" s="8" t="s">
        <v>17</v>
      </c>
      <c r="B62" s="10" t="s">
        <v>19</v>
      </c>
      <c r="D62" s="2"/>
      <c r="F62" s="9"/>
      <c r="G62" s="9"/>
      <c r="H62" s="9"/>
      <c r="I62" s="9"/>
      <c r="J62" s="8" t="s">
        <v>33</v>
      </c>
      <c r="K62" s="8" t="s">
        <v>19</v>
      </c>
      <c r="L62" s="8"/>
      <c r="M62" s="2"/>
      <c r="N62" s="27"/>
    </row>
    <row r="63" spans="1:17" x14ac:dyDescent="0.2">
      <c r="A63" s="8" t="s">
        <v>6</v>
      </c>
      <c r="B63" s="10" t="s">
        <v>21</v>
      </c>
      <c r="D63" s="2"/>
      <c r="F63" s="9"/>
      <c r="G63" s="9"/>
      <c r="H63" s="9"/>
      <c r="I63" s="9"/>
      <c r="J63" s="8" t="s">
        <v>10</v>
      </c>
      <c r="K63" s="8" t="s">
        <v>21</v>
      </c>
      <c r="L63" s="8"/>
      <c r="M63" s="2"/>
      <c r="N63" s="27"/>
    </row>
    <row r="64" spans="1:17" x14ac:dyDescent="0.2">
      <c r="A64" s="8" t="s">
        <v>20</v>
      </c>
      <c r="B64" s="10" t="s">
        <v>37</v>
      </c>
      <c r="D64" s="2"/>
      <c r="F64" s="9"/>
      <c r="G64" s="9"/>
      <c r="H64" s="9"/>
      <c r="I64" s="9"/>
      <c r="J64" s="8" t="s">
        <v>27</v>
      </c>
      <c r="K64" s="8" t="s">
        <v>37</v>
      </c>
      <c r="L64" s="8"/>
      <c r="M64" s="2"/>
      <c r="N64" s="27"/>
    </row>
    <row r="65" spans="1:14" x14ac:dyDescent="0.2">
      <c r="D65" s="2"/>
      <c r="F65" s="9"/>
      <c r="G65" s="9"/>
      <c r="H65" s="9"/>
      <c r="I65" s="9"/>
      <c r="J65" s="27"/>
      <c r="K65" s="27"/>
      <c r="L65" s="27"/>
      <c r="M65" s="27"/>
      <c r="N65" s="27"/>
    </row>
    <row r="66" spans="1:14" s="6" customFormat="1" x14ac:dyDescent="0.2">
      <c r="A66" s="8"/>
      <c r="B66" s="8"/>
      <c r="C66" s="8"/>
      <c r="D66" s="2"/>
      <c r="E66" s="12"/>
      <c r="F66" s="9"/>
      <c r="G66" s="9"/>
      <c r="H66" s="9"/>
      <c r="I66" s="9"/>
      <c r="J66" s="27"/>
      <c r="K66" s="27"/>
      <c r="L66" s="27"/>
      <c r="M66" s="27"/>
      <c r="N66" s="27"/>
    </row>
    <row r="67" spans="1:14" s="6" customFormat="1" x14ac:dyDescent="0.2">
      <c r="A67" s="8"/>
      <c r="B67" s="8"/>
      <c r="C67" s="8"/>
      <c r="D67" s="2"/>
      <c r="E67" s="12"/>
      <c r="F67" s="9"/>
      <c r="G67" s="9"/>
      <c r="H67" s="9"/>
      <c r="I67" s="9"/>
      <c r="J67" s="27"/>
      <c r="K67" s="27"/>
      <c r="L67" s="27"/>
      <c r="M67" s="27"/>
      <c r="N67" s="27"/>
    </row>
    <row r="68" spans="1:14" s="6" customFormat="1" x14ac:dyDescent="0.2">
      <c r="A68" s="8"/>
      <c r="B68" s="8"/>
      <c r="C68" s="8"/>
      <c r="D68" s="2"/>
      <c r="E68" s="12"/>
      <c r="F68" s="9"/>
      <c r="G68" s="9"/>
      <c r="H68" s="9"/>
      <c r="I68" s="9"/>
      <c r="J68" s="27"/>
      <c r="K68" s="27"/>
      <c r="L68" s="27"/>
      <c r="M68" s="27"/>
      <c r="N68" s="27"/>
    </row>
    <row r="69" spans="1:14" s="6" customFormat="1" x14ac:dyDescent="0.2">
      <c r="A69" s="8"/>
      <c r="B69" s="8"/>
      <c r="C69" s="8"/>
      <c r="D69" s="2"/>
      <c r="E69" s="12"/>
      <c r="F69" s="9"/>
      <c r="G69" s="9"/>
      <c r="H69" s="9"/>
      <c r="I69" s="9"/>
      <c r="J69" s="27"/>
      <c r="K69" s="27"/>
      <c r="L69" s="27"/>
      <c r="M69" s="27"/>
      <c r="N69" s="27"/>
    </row>
    <row r="70" spans="1:14" s="6" customFormat="1" x14ac:dyDescent="0.2">
      <c r="A70" s="8"/>
      <c r="B70" s="8"/>
      <c r="C70" s="8"/>
      <c r="D70" s="2"/>
      <c r="E70" s="12"/>
      <c r="F70" s="9"/>
      <c r="G70" s="9"/>
      <c r="H70" s="9"/>
      <c r="I70" s="9"/>
      <c r="J70" s="27"/>
      <c r="K70" s="27"/>
      <c r="L70" s="27"/>
      <c r="M70" s="27"/>
      <c r="N70" s="27"/>
    </row>
    <row r="71" spans="1:14" s="6" customFormat="1" x14ac:dyDescent="0.2">
      <c r="A71" s="8"/>
      <c r="B71" s="8"/>
      <c r="C71" s="8"/>
      <c r="D71" s="2"/>
      <c r="E71" s="12"/>
      <c r="F71" s="9"/>
      <c r="G71" s="9"/>
      <c r="H71" s="9"/>
      <c r="I71" s="9"/>
      <c r="J71" s="27"/>
      <c r="K71" s="27"/>
      <c r="L71" s="27"/>
      <c r="M71" s="27"/>
      <c r="N71" s="27"/>
    </row>
    <row r="72" spans="1:14" s="6" customFormat="1" x14ac:dyDescent="0.2">
      <c r="A72" s="8"/>
      <c r="B72" s="8"/>
      <c r="C72" s="8"/>
      <c r="D72" s="2"/>
      <c r="E72" s="12"/>
      <c r="F72" s="9"/>
      <c r="G72" s="9"/>
      <c r="H72" s="9"/>
      <c r="I72" s="9"/>
      <c r="J72" s="27"/>
      <c r="K72" s="27"/>
      <c r="L72" s="27"/>
      <c r="M72" s="27"/>
      <c r="N72" s="27"/>
    </row>
    <row r="73" spans="1:14" s="6" customFormat="1" x14ac:dyDescent="0.2">
      <c r="A73" s="8"/>
      <c r="B73" s="8"/>
      <c r="C73" s="8"/>
      <c r="D73" s="2"/>
      <c r="E73" s="12"/>
      <c r="F73" s="9"/>
      <c r="G73" s="9"/>
      <c r="H73" s="9"/>
      <c r="I73" s="9"/>
      <c r="J73" s="27"/>
      <c r="K73" s="27"/>
      <c r="L73" s="27"/>
      <c r="M73" s="27"/>
      <c r="N73" s="27"/>
    </row>
    <row r="74" spans="1:14" s="6" customFormat="1" x14ac:dyDescent="0.2">
      <c r="A74" s="8"/>
      <c r="B74" s="8"/>
      <c r="C74" s="8"/>
      <c r="D74" s="2"/>
      <c r="E74" s="12"/>
      <c r="F74" s="9"/>
      <c r="G74" s="9"/>
      <c r="H74" s="9"/>
      <c r="I74" s="9"/>
      <c r="J74" s="27"/>
      <c r="K74" s="27"/>
      <c r="L74" s="27"/>
      <c r="M74" s="27"/>
      <c r="N74" s="27"/>
    </row>
    <row r="75" spans="1:14" s="6" customFormat="1" x14ac:dyDescent="0.2">
      <c r="A75" s="8"/>
      <c r="B75" s="8"/>
      <c r="C75" s="8"/>
      <c r="D75" s="2"/>
      <c r="E75" s="12"/>
      <c r="F75" s="9"/>
      <c r="G75" s="9"/>
      <c r="H75" s="9"/>
      <c r="I75" s="9"/>
      <c r="J75" s="27"/>
      <c r="K75" s="27"/>
      <c r="L75" s="27"/>
      <c r="M75" s="27"/>
      <c r="N75" s="27"/>
    </row>
    <row r="76" spans="1:14" s="6" customFormat="1" x14ac:dyDescent="0.2">
      <c r="A76" s="8"/>
      <c r="B76" s="8"/>
      <c r="C76" s="8"/>
      <c r="D76" s="2"/>
      <c r="E76" s="12"/>
      <c r="F76" s="9"/>
      <c r="G76" s="9"/>
      <c r="H76" s="9"/>
      <c r="I76" s="9"/>
      <c r="J76" s="27"/>
      <c r="K76" s="27"/>
      <c r="L76" s="27"/>
      <c r="M76" s="27"/>
      <c r="N76" s="27"/>
    </row>
    <row r="77" spans="1:14" s="6" customFormat="1" x14ac:dyDescent="0.2">
      <c r="A77" s="8"/>
      <c r="B77" s="8"/>
      <c r="C77" s="8"/>
      <c r="D77" s="2"/>
      <c r="E77" s="12"/>
      <c r="F77" s="9"/>
      <c r="G77" s="9"/>
      <c r="H77" s="9"/>
      <c r="I77" s="9"/>
      <c r="J77" s="27"/>
      <c r="K77" s="27"/>
      <c r="L77" s="27"/>
      <c r="M77" s="27"/>
      <c r="N77" s="27"/>
    </row>
    <row r="78" spans="1:14" s="6" customFormat="1" x14ac:dyDescent="0.2">
      <c r="A78" s="8"/>
      <c r="B78" s="8"/>
      <c r="C78" s="8"/>
      <c r="D78" s="2"/>
      <c r="E78" s="12"/>
      <c r="F78" s="9"/>
      <c r="G78" s="9"/>
      <c r="H78" s="9"/>
      <c r="I78" s="9"/>
      <c r="J78" s="27"/>
      <c r="K78" s="27"/>
      <c r="L78" s="27"/>
      <c r="M78" s="27"/>
      <c r="N78" s="27"/>
    </row>
    <row r="79" spans="1:14" s="6" customFormat="1" x14ac:dyDescent="0.2">
      <c r="A79" s="8"/>
      <c r="B79" s="8"/>
      <c r="C79" s="8"/>
      <c r="D79" s="2"/>
      <c r="E79" s="12"/>
      <c r="F79" s="9"/>
      <c r="G79" s="9"/>
      <c r="H79" s="9"/>
      <c r="I79" s="9"/>
      <c r="J79" s="27"/>
      <c r="K79" s="27"/>
      <c r="L79" s="27"/>
      <c r="M79" s="27"/>
      <c r="N79" s="27"/>
    </row>
    <row r="80" spans="1:14" s="6" customFormat="1" x14ac:dyDescent="0.2">
      <c r="A80" s="8"/>
      <c r="B80" s="8"/>
      <c r="C80" s="8"/>
      <c r="D80" s="2"/>
      <c r="E80" s="12"/>
      <c r="F80" s="9"/>
      <c r="G80" s="9"/>
      <c r="H80" s="9"/>
      <c r="I80" s="9"/>
      <c r="J80" s="27"/>
      <c r="K80" s="27"/>
      <c r="L80" s="27"/>
      <c r="M80" s="27"/>
      <c r="N80" s="27"/>
    </row>
    <row r="81" spans="1:14" s="6" customFormat="1" x14ac:dyDescent="0.2">
      <c r="A81" s="8"/>
      <c r="B81" s="8"/>
      <c r="C81" s="8"/>
      <c r="D81" s="2"/>
      <c r="E81" s="12"/>
      <c r="F81" s="9"/>
      <c r="G81" s="9"/>
      <c r="H81" s="9"/>
      <c r="I81" s="9"/>
      <c r="J81" s="27"/>
      <c r="K81" s="27"/>
      <c r="L81" s="27"/>
      <c r="M81" s="27"/>
      <c r="N81" s="27"/>
    </row>
    <row r="82" spans="1:14" s="6" customFormat="1" x14ac:dyDescent="0.2">
      <c r="A82" s="8"/>
      <c r="B82" s="8"/>
      <c r="C82" s="8"/>
      <c r="D82" s="2"/>
      <c r="E82" s="12"/>
      <c r="F82" s="9"/>
      <c r="G82" s="9"/>
      <c r="H82" s="9"/>
      <c r="I82" s="9"/>
      <c r="J82" s="27"/>
      <c r="K82" s="27"/>
      <c r="L82" s="27"/>
      <c r="M82" s="27"/>
      <c r="N82" s="27"/>
    </row>
    <row r="83" spans="1:14" s="6" customFormat="1" x14ac:dyDescent="0.2">
      <c r="A83" s="8"/>
      <c r="B83" s="8"/>
      <c r="C83" s="8"/>
      <c r="D83" s="2"/>
      <c r="E83" s="12"/>
      <c r="F83" s="9"/>
      <c r="G83" s="9"/>
      <c r="H83" s="9"/>
      <c r="I83" s="9"/>
      <c r="J83" s="27"/>
      <c r="K83" s="27"/>
      <c r="L83" s="27"/>
      <c r="M83" s="27"/>
      <c r="N83" s="27"/>
    </row>
    <row r="84" spans="1:14" s="6" customFormat="1" x14ac:dyDescent="0.2">
      <c r="A84" s="8"/>
      <c r="B84" s="8"/>
      <c r="C84" s="8"/>
      <c r="D84" s="2"/>
      <c r="E84" s="12"/>
      <c r="F84" s="9"/>
      <c r="G84" s="9"/>
      <c r="H84" s="9"/>
      <c r="I84" s="9"/>
      <c r="J84" s="27"/>
      <c r="K84" s="27"/>
      <c r="L84" s="27"/>
      <c r="M84" s="27"/>
      <c r="N84" s="27"/>
    </row>
    <row r="85" spans="1:14" s="6" customFormat="1" x14ac:dyDescent="0.2">
      <c r="A85" s="8"/>
      <c r="B85" s="8"/>
      <c r="C85" s="8"/>
      <c r="D85" s="2"/>
      <c r="E85" s="12"/>
      <c r="F85" s="9"/>
      <c r="G85" s="9"/>
      <c r="H85" s="9"/>
      <c r="I85" s="9"/>
      <c r="J85" s="27"/>
      <c r="K85" s="27"/>
      <c r="L85" s="27"/>
      <c r="M85" s="27"/>
      <c r="N85" s="27"/>
    </row>
    <row r="86" spans="1:14" s="6" customFormat="1" x14ac:dyDescent="0.2">
      <c r="A86" s="8"/>
      <c r="B86" s="8"/>
      <c r="C86" s="8"/>
      <c r="D86" s="2"/>
      <c r="E86" s="12"/>
      <c r="F86" s="9"/>
      <c r="G86" s="9"/>
      <c r="H86" s="9"/>
      <c r="I86" s="9"/>
      <c r="J86" s="27"/>
      <c r="K86" s="27"/>
      <c r="L86" s="27"/>
      <c r="M86" s="27"/>
      <c r="N86" s="27"/>
    </row>
    <row r="87" spans="1:14" s="6" customFormat="1" x14ac:dyDescent="0.2">
      <c r="A87" s="8"/>
      <c r="B87" s="8"/>
      <c r="C87" s="8"/>
      <c r="D87" s="2"/>
      <c r="E87" s="12"/>
      <c r="F87" s="9"/>
      <c r="G87" s="9"/>
      <c r="H87" s="9"/>
      <c r="I87" s="9"/>
      <c r="J87" s="27"/>
      <c r="K87" s="27"/>
      <c r="L87" s="27"/>
      <c r="M87" s="27"/>
      <c r="N87" s="27"/>
    </row>
    <row r="88" spans="1:14" s="6" customFormat="1" x14ac:dyDescent="0.2">
      <c r="A88" s="8"/>
      <c r="B88" s="8"/>
      <c r="C88" s="8"/>
      <c r="D88" s="2"/>
      <c r="E88" s="12"/>
      <c r="F88" s="9"/>
      <c r="G88" s="9"/>
      <c r="H88" s="9"/>
      <c r="I88" s="9"/>
      <c r="J88" s="27"/>
      <c r="K88" s="27"/>
      <c r="L88" s="27"/>
      <c r="M88" s="27"/>
      <c r="N88" s="27"/>
    </row>
    <row r="89" spans="1:14" s="6" customFormat="1" x14ac:dyDescent="0.2">
      <c r="A89" s="8"/>
      <c r="B89" s="8"/>
      <c r="C89" s="8"/>
      <c r="D89" s="2"/>
      <c r="E89" s="12"/>
      <c r="F89" s="9"/>
      <c r="G89" s="9"/>
      <c r="H89" s="9"/>
      <c r="I89" s="9"/>
      <c r="J89" s="27"/>
      <c r="K89" s="27"/>
      <c r="L89" s="27"/>
      <c r="M89" s="27"/>
      <c r="N89" s="27"/>
    </row>
    <row r="90" spans="1:14" s="6" customFormat="1" x14ac:dyDescent="0.2">
      <c r="A90" s="8"/>
      <c r="B90" s="8"/>
      <c r="C90" s="8"/>
      <c r="D90" s="2"/>
      <c r="E90" s="12"/>
      <c r="F90" s="9"/>
      <c r="G90" s="9"/>
      <c r="H90" s="9"/>
      <c r="I90" s="9"/>
      <c r="J90" s="27"/>
      <c r="K90" s="27"/>
      <c r="L90" s="27"/>
      <c r="M90" s="27"/>
      <c r="N90" s="27"/>
    </row>
    <row r="91" spans="1:14" s="6" customFormat="1" x14ac:dyDescent="0.2">
      <c r="A91" s="8"/>
      <c r="B91" s="8"/>
      <c r="C91" s="8"/>
      <c r="D91" s="2"/>
      <c r="E91" s="12"/>
      <c r="F91" s="9"/>
      <c r="G91" s="9"/>
      <c r="H91" s="9"/>
      <c r="I91" s="9"/>
      <c r="J91" s="27"/>
      <c r="K91" s="27"/>
      <c r="L91" s="27"/>
      <c r="M91" s="27"/>
      <c r="N91" s="27"/>
    </row>
    <row r="92" spans="1:14" s="6" customFormat="1" x14ac:dyDescent="0.2">
      <c r="A92" s="8"/>
      <c r="B92" s="8"/>
      <c r="C92" s="8"/>
      <c r="D92" s="2"/>
      <c r="E92" s="12"/>
      <c r="F92" s="9"/>
      <c r="G92" s="9"/>
      <c r="H92" s="9"/>
      <c r="I92" s="9"/>
      <c r="J92" s="27"/>
      <c r="K92" s="27"/>
      <c r="L92" s="27"/>
      <c r="M92" s="27"/>
      <c r="N92" s="27"/>
    </row>
    <row r="93" spans="1:14" s="6" customFormat="1" x14ac:dyDescent="0.2">
      <c r="A93" s="8"/>
      <c r="B93" s="8"/>
      <c r="C93" s="8"/>
      <c r="D93" s="2"/>
      <c r="E93" s="12"/>
      <c r="F93" s="9"/>
      <c r="G93" s="9"/>
      <c r="H93" s="9"/>
      <c r="I93" s="9"/>
      <c r="J93" s="27"/>
      <c r="K93" s="27"/>
      <c r="L93" s="27"/>
      <c r="M93" s="27"/>
      <c r="N93" s="27"/>
    </row>
    <row r="94" spans="1:14" s="6" customFormat="1" x14ac:dyDescent="0.2">
      <c r="A94" s="8"/>
      <c r="B94" s="8"/>
      <c r="C94" s="8"/>
      <c r="D94" s="2"/>
      <c r="E94" s="12"/>
      <c r="F94" s="9"/>
      <c r="G94" s="9"/>
      <c r="H94" s="9"/>
      <c r="I94" s="9"/>
      <c r="J94" s="27"/>
      <c r="K94" s="27"/>
      <c r="L94" s="27"/>
      <c r="M94" s="27"/>
      <c r="N94" s="27"/>
    </row>
    <row r="95" spans="1:14" s="6" customFormat="1" x14ac:dyDescent="0.2">
      <c r="A95" s="8"/>
      <c r="B95" s="8"/>
      <c r="C95" s="8"/>
      <c r="D95" s="2"/>
      <c r="E95" s="12"/>
      <c r="F95" s="9"/>
      <c r="G95" s="9"/>
      <c r="H95" s="9"/>
      <c r="I95" s="9"/>
      <c r="J95" s="27"/>
      <c r="K95" s="27"/>
      <c r="L95" s="27"/>
      <c r="M95" s="27"/>
      <c r="N95" s="27"/>
    </row>
    <row r="96" spans="1:14" s="6" customFormat="1" x14ac:dyDescent="0.2">
      <c r="A96" s="8"/>
      <c r="B96" s="8"/>
      <c r="C96" s="8"/>
      <c r="D96" s="2"/>
      <c r="E96" s="12"/>
      <c r="F96" s="9"/>
      <c r="G96" s="9"/>
      <c r="H96" s="9"/>
      <c r="I96" s="9"/>
      <c r="J96" s="27"/>
      <c r="K96" s="27"/>
      <c r="L96" s="27"/>
      <c r="M96" s="27"/>
      <c r="N96" s="27"/>
    </row>
    <row r="97" spans="1:14" s="6" customFormat="1" x14ac:dyDescent="0.2">
      <c r="A97" s="8"/>
      <c r="B97" s="8"/>
      <c r="C97" s="8"/>
      <c r="D97" s="2"/>
      <c r="E97" s="12"/>
      <c r="F97" s="9"/>
      <c r="G97" s="9"/>
      <c r="H97" s="9"/>
      <c r="I97" s="9"/>
      <c r="J97" s="27"/>
      <c r="K97" s="27"/>
      <c r="L97" s="27"/>
      <c r="M97" s="27"/>
      <c r="N97" s="27"/>
    </row>
    <row r="98" spans="1:14" s="6" customFormat="1" x14ac:dyDescent="0.2">
      <c r="A98" s="8"/>
      <c r="B98" s="8"/>
      <c r="C98" s="8"/>
      <c r="D98" s="2"/>
      <c r="E98" s="12"/>
      <c r="F98" s="9"/>
      <c r="G98" s="9"/>
      <c r="H98" s="9"/>
      <c r="I98" s="9"/>
      <c r="J98" s="27"/>
      <c r="K98" s="27"/>
      <c r="L98" s="27"/>
      <c r="M98" s="27"/>
      <c r="N98" s="27"/>
    </row>
    <row r="99" spans="1:14" s="6" customFormat="1" x14ac:dyDescent="0.2">
      <c r="A99" s="8"/>
      <c r="B99" s="8"/>
      <c r="C99" s="8"/>
      <c r="D99" s="2"/>
      <c r="E99" s="12"/>
      <c r="F99" s="9"/>
      <c r="G99" s="9"/>
      <c r="H99" s="9"/>
      <c r="I99" s="9"/>
      <c r="J99" s="27"/>
      <c r="K99" s="27"/>
      <c r="L99" s="27"/>
      <c r="M99" s="27"/>
      <c r="N99" s="27"/>
    </row>
    <row r="100" spans="1:14" s="6" customFormat="1" x14ac:dyDescent="0.2">
      <c r="A100" s="8"/>
      <c r="B100" s="8"/>
      <c r="C100" s="8"/>
      <c r="D100" s="2"/>
      <c r="E100" s="12"/>
      <c r="F100" s="9"/>
      <c r="G100" s="9"/>
      <c r="H100" s="9"/>
      <c r="I100" s="9"/>
      <c r="J100" s="27"/>
      <c r="K100" s="27"/>
      <c r="L100" s="27"/>
      <c r="M100" s="27"/>
      <c r="N100" s="27"/>
    </row>
    <row r="101" spans="1:14" s="6" customFormat="1" x14ac:dyDescent="0.2">
      <c r="A101" s="8"/>
      <c r="B101" s="8"/>
      <c r="C101" s="8"/>
      <c r="D101" s="2"/>
      <c r="E101" s="12"/>
      <c r="F101" s="9"/>
      <c r="G101" s="9"/>
      <c r="H101" s="9"/>
      <c r="I101" s="9"/>
      <c r="J101" s="27"/>
      <c r="K101" s="27"/>
      <c r="L101" s="27"/>
      <c r="M101" s="27"/>
      <c r="N101" s="27"/>
    </row>
    <row r="102" spans="1:14" s="6" customFormat="1" x14ac:dyDescent="0.2">
      <c r="A102" s="8"/>
      <c r="B102" s="8"/>
      <c r="C102" s="8"/>
      <c r="D102" s="2"/>
      <c r="E102" s="12"/>
      <c r="F102" s="9"/>
      <c r="G102" s="9"/>
      <c r="H102" s="9"/>
      <c r="I102" s="9"/>
      <c r="J102" s="27"/>
      <c r="K102" s="27"/>
      <c r="L102" s="27"/>
      <c r="M102" s="27"/>
      <c r="N102" s="27"/>
    </row>
    <row r="103" spans="1:14" s="6" customFormat="1" x14ac:dyDescent="0.2">
      <c r="A103" s="8"/>
      <c r="B103" s="8"/>
      <c r="C103" s="8"/>
      <c r="D103" s="2"/>
      <c r="E103" s="12"/>
      <c r="F103" s="9"/>
      <c r="G103" s="9"/>
      <c r="H103" s="9"/>
      <c r="I103" s="9"/>
      <c r="J103" s="27"/>
      <c r="K103" s="27"/>
      <c r="L103" s="27"/>
      <c r="M103" s="27"/>
      <c r="N103" s="27"/>
    </row>
    <row r="104" spans="1:14" s="6" customFormat="1" x14ac:dyDescent="0.2">
      <c r="A104" s="8"/>
      <c r="B104" s="8"/>
      <c r="C104" s="8"/>
      <c r="D104" s="2"/>
      <c r="E104" s="12"/>
      <c r="F104" s="9"/>
      <c r="G104" s="9"/>
      <c r="H104" s="9"/>
      <c r="I104" s="9"/>
      <c r="J104" s="27"/>
      <c r="K104" s="27"/>
      <c r="L104" s="27"/>
      <c r="M104" s="27"/>
      <c r="N104" s="27"/>
    </row>
    <row r="105" spans="1:14" s="6" customFormat="1" x14ac:dyDescent="0.2">
      <c r="A105" s="8"/>
      <c r="B105" s="8"/>
      <c r="C105" s="8"/>
      <c r="D105" s="2"/>
      <c r="E105" s="12"/>
      <c r="F105" s="9"/>
      <c r="G105" s="9"/>
      <c r="H105" s="9"/>
      <c r="I105" s="9"/>
      <c r="J105" s="27"/>
      <c r="K105" s="27"/>
      <c r="L105" s="27"/>
      <c r="M105" s="27"/>
      <c r="N105" s="27"/>
    </row>
    <row r="106" spans="1:14" s="6" customFormat="1" x14ac:dyDescent="0.2">
      <c r="A106" s="8"/>
      <c r="B106" s="8"/>
      <c r="C106" s="8"/>
      <c r="D106" s="2"/>
      <c r="E106" s="12"/>
      <c r="F106" s="9"/>
      <c r="G106" s="9"/>
      <c r="H106" s="9"/>
      <c r="I106" s="9"/>
      <c r="J106" s="27"/>
      <c r="K106" s="27"/>
      <c r="L106" s="27"/>
      <c r="M106" s="27"/>
      <c r="N106" s="27"/>
    </row>
    <row r="107" spans="1:14" s="6" customFormat="1" x14ac:dyDescent="0.2">
      <c r="A107" s="8"/>
      <c r="B107" s="8"/>
      <c r="C107" s="8"/>
      <c r="D107" s="2"/>
      <c r="E107" s="12"/>
      <c r="F107" s="9"/>
      <c r="G107" s="9"/>
      <c r="H107" s="9"/>
      <c r="I107" s="9"/>
      <c r="J107" s="27"/>
      <c r="K107" s="27"/>
      <c r="L107" s="27"/>
      <c r="M107" s="27"/>
      <c r="N107" s="27"/>
    </row>
    <row r="108" spans="1:14" s="6" customFormat="1" x14ac:dyDescent="0.2">
      <c r="A108" s="8"/>
      <c r="B108" s="8"/>
      <c r="C108" s="8"/>
      <c r="D108" s="2"/>
      <c r="E108" s="12"/>
      <c r="F108" s="9"/>
      <c r="G108" s="9"/>
      <c r="H108" s="9"/>
      <c r="I108" s="9"/>
      <c r="J108" s="27"/>
      <c r="K108" s="27"/>
      <c r="L108" s="27"/>
      <c r="M108" s="27"/>
      <c r="N108" s="27"/>
    </row>
    <row r="109" spans="1:14" s="6" customFormat="1" x14ac:dyDescent="0.2">
      <c r="A109" s="8"/>
      <c r="B109" s="8"/>
      <c r="C109" s="8"/>
      <c r="D109" s="2"/>
      <c r="E109" s="12"/>
      <c r="F109" s="9"/>
      <c r="G109" s="9"/>
      <c r="H109" s="9"/>
      <c r="I109" s="9"/>
      <c r="J109" s="27"/>
      <c r="K109" s="27"/>
      <c r="L109" s="27"/>
      <c r="M109" s="27"/>
      <c r="N109" s="27"/>
    </row>
    <row r="110" spans="1:14" s="6" customFormat="1" x14ac:dyDescent="0.2">
      <c r="A110" s="8"/>
      <c r="B110" s="8"/>
      <c r="C110" s="8"/>
      <c r="D110" s="2"/>
      <c r="E110" s="12"/>
      <c r="F110" s="9"/>
      <c r="G110" s="9"/>
      <c r="H110" s="9"/>
      <c r="I110" s="9"/>
      <c r="J110" s="27"/>
      <c r="K110" s="27"/>
      <c r="L110" s="27"/>
      <c r="M110" s="27"/>
      <c r="N110" s="27"/>
    </row>
    <row r="111" spans="1:14" s="6" customFormat="1" x14ac:dyDescent="0.2">
      <c r="A111" s="8"/>
      <c r="B111" s="8"/>
      <c r="C111" s="8"/>
      <c r="D111" s="2"/>
      <c r="E111" s="12"/>
      <c r="F111" s="9"/>
      <c r="G111" s="9"/>
      <c r="H111" s="9"/>
      <c r="I111" s="9"/>
      <c r="J111" s="27"/>
      <c r="K111" s="27"/>
      <c r="L111" s="27"/>
      <c r="M111" s="27"/>
      <c r="N111" s="27"/>
    </row>
    <row r="112" spans="1:14" s="6" customFormat="1" x14ac:dyDescent="0.2">
      <c r="A112" s="8"/>
      <c r="B112" s="8"/>
      <c r="C112" s="8"/>
      <c r="D112" s="2"/>
      <c r="E112" s="12"/>
      <c r="F112" s="9"/>
      <c r="G112" s="9"/>
      <c r="H112" s="9"/>
      <c r="I112" s="9"/>
      <c r="J112" s="27"/>
      <c r="K112" s="27"/>
      <c r="L112" s="27"/>
      <c r="M112" s="27"/>
      <c r="N112" s="27"/>
    </row>
    <row r="113" spans="1:14" s="6" customFormat="1" x14ac:dyDescent="0.2">
      <c r="A113" s="8"/>
      <c r="B113" s="8"/>
      <c r="C113" s="8"/>
      <c r="D113" s="2"/>
      <c r="E113" s="12"/>
      <c r="F113" s="9"/>
      <c r="G113" s="9"/>
      <c r="H113" s="9"/>
      <c r="I113" s="9"/>
      <c r="J113" s="27"/>
      <c r="K113" s="27"/>
      <c r="L113" s="27"/>
      <c r="M113" s="27"/>
      <c r="N113" s="27"/>
    </row>
    <row r="114" spans="1:14" s="6" customFormat="1" x14ac:dyDescent="0.2">
      <c r="A114" s="8"/>
      <c r="B114" s="8"/>
      <c r="C114" s="8"/>
      <c r="D114" s="2"/>
      <c r="E114" s="12"/>
      <c r="F114" s="9"/>
      <c r="G114" s="9"/>
      <c r="H114" s="9"/>
      <c r="I114" s="9"/>
      <c r="J114" s="27"/>
      <c r="K114" s="27"/>
      <c r="L114" s="27"/>
      <c r="M114" s="27"/>
      <c r="N114" s="27"/>
    </row>
    <row r="115" spans="1:14" s="6" customFormat="1" x14ac:dyDescent="0.2">
      <c r="A115" s="8"/>
      <c r="B115" s="8"/>
      <c r="C115" s="8"/>
      <c r="D115" s="2"/>
      <c r="E115" s="12"/>
      <c r="F115" s="9"/>
      <c r="G115" s="9"/>
      <c r="H115" s="9"/>
      <c r="I115" s="9"/>
      <c r="J115" s="27"/>
      <c r="K115" s="27"/>
      <c r="L115" s="27"/>
      <c r="M115" s="27"/>
      <c r="N115" s="27"/>
    </row>
    <row r="116" spans="1:14" s="6" customFormat="1" x14ac:dyDescent="0.2">
      <c r="A116" s="8"/>
      <c r="B116" s="8"/>
      <c r="C116" s="8"/>
      <c r="D116" s="2"/>
      <c r="E116" s="12"/>
      <c r="F116" s="9"/>
      <c r="G116" s="9"/>
      <c r="H116" s="9"/>
      <c r="I116" s="9"/>
      <c r="J116" s="27"/>
      <c r="K116" s="27"/>
      <c r="L116" s="27"/>
      <c r="M116" s="27"/>
      <c r="N116" s="27"/>
    </row>
    <row r="117" spans="1:14" s="6" customFormat="1" x14ac:dyDescent="0.2">
      <c r="A117" s="8"/>
      <c r="B117" s="8"/>
      <c r="C117" s="8"/>
      <c r="D117" s="2"/>
      <c r="E117" s="12"/>
      <c r="F117" s="9"/>
      <c r="G117" s="9"/>
      <c r="H117" s="9"/>
      <c r="I117" s="9"/>
      <c r="J117" s="27"/>
      <c r="K117" s="27"/>
      <c r="L117" s="27"/>
      <c r="M117" s="27"/>
      <c r="N117" s="27"/>
    </row>
    <row r="118" spans="1:14" s="6" customFormat="1" x14ac:dyDescent="0.2">
      <c r="A118" s="8"/>
      <c r="B118" s="8"/>
      <c r="C118" s="8"/>
      <c r="D118" s="2"/>
      <c r="E118" s="12"/>
      <c r="F118" s="9"/>
      <c r="G118" s="9"/>
      <c r="H118" s="9"/>
      <c r="I118" s="9"/>
      <c r="J118" s="27"/>
      <c r="K118" s="27"/>
      <c r="L118" s="27"/>
      <c r="M118" s="27"/>
      <c r="N118" s="27"/>
    </row>
    <row r="119" spans="1:14" s="6" customFormat="1" x14ac:dyDescent="0.2">
      <c r="A119" s="8"/>
      <c r="B119" s="8"/>
      <c r="C119" s="8"/>
      <c r="D119" s="2"/>
      <c r="E119" s="12"/>
      <c r="F119" s="9"/>
      <c r="G119" s="9"/>
      <c r="H119" s="9"/>
      <c r="I119" s="9"/>
      <c r="J119" s="27"/>
      <c r="K119" s="27"/>
      <c r="L119" s="27"/>
      <c r="M119" s="27"/>
      <c r="N119" s="27"/>
    </row>
    <row r="120" spans="1:14" s="6" customFormat="1" x14ac:dyDescent="0.2">
      <c r="A120" s="8"/>
      <c r="B120" s="8"/>
      <c r="C120" s="8"/>
      <c r="D120" s="2"/>
      <c r="E120" s="12"/>
      <c r="F120" s="9"/>
      <c r="G120" s="9"/>
      <c r="H120" s="9"/>
      <c r="I120" s="9"/>
      <c r="J120" s="27"/>
      <c r="K120" s="27"/>
      <c r="L120" s="27"/>
      <c r="M120" s="27"/>
      <c r="N120" s="27"/>
    </row>
    <row r="121" spans="1:14" s="6" customFormat="1" x14ac:dyDescent="0.2">
      <c r="A121" s="8"/>
      <c r="B121" s="8"/>
      <c r="C121" s="8"/>
      <c r="D121" s="2"/>
      <c r="E121" s="12"/>
      <c r="F121" s="9"/>
      <c r="G121" s="9"/>
      <c r="H121" s="9"/>
      <c r="I121" s="9"/>
      <c r="J121" s="27"/>
      <c r="K121" s="27"/>
      <c r="L121" s="27"/>
      <c r="M121" s="27"/>
      <c r="N121" s="27"/>
    </row>
    <row r="122" spans="1:14" s="6" customFormat="1" x14ac:dyDescent="0.2">
      <c r="A122" s="8"/>
      <c r="B122" s="8"/>
      <c r="C122" s="8"/>
      <c r="D122" s="2"/>
      <c r="E122" s="12"/>
      <c r="F122" s="9"/>
      <c r="G122" s="9"/>
      <c r="H122" s="9"/>
      <c r="I122" s="9"/>
      <c r="J122" s="27"/>
      <c r="K122" s="27"/>
      <c r="L122" s="27"/>
      <c r="M122" s="27"/>
      <c r="N122" s="27"/>
    </row>
    <row r="123" spans="1:14" s="6" customFormat="1" x14ac:dyDescent="0.2">
      <c r="A123" s="8"/>
      <c r="B123" s="8"/>
      <c r="C123" s="8"/>
      <c r="D123" s="2"/>
      <c r="E123" s="12"/>
      <c r="F123" s="9"/>
      <c r="G123" s="9"/>
      <c r="H123" s="9"/>
      <c r="I123" s="9"/>
      <c r="J123" s="27"/>
      <c r="K123" s="27"/>
      <c r="L123" s="27"/>
      <c r="M123" s="27"/>
      <c r="N123" s="27"/>
    </row>
    <row r="124" spans="1:14" s="6" customFormat="1" x14ac:dyDescent="0.2">
      <c r="A124" s="8"/>
      <c r="B124" s="8"/>
      <c r="C124" s="8"/>
      <c r="D124" s="2"/>
      <c r="E124" s="12"/>
      <c r="F124" s="9"/>
      <c r="G124" s="9"/>
      <c r="H124" s="9"/>
      <c r="I124" s="9"/>
      <c r="J124" s="27"/>
      <c r="K124" s="27"/>
      <c r="L124" s="27"/>
      <c r="M124" s="27"/>
      <c r="N124" s="27"/>
    </row>
    <row r="125" spans="1:14" s="6" customFormat="1" x14ac:dyDescent="0.2">
      <c r="A125" s="8"/>
      <c r="B125" s="8"/>
      <c r="C125" s="8"/>
      <c r="D125" s="2"/>
      <c r="E125" s="12"/>
      <c r="F125" s="9"/>
      <c r="G125" s="9"/>
      <c r="H125" s="9"/>
      <c r="I125" s="9"/>
      <c r="J125" s="27"/>
      <c r="K125" s="27"/>
      <c r="L125" s="27"/>
      <c r="M125" s="27"/>
      <c r="N125" s="27"/>
    </row>
    <row r="126" spans="1:14" s="6" customFormat="1" x14ac:dyDescent="0.2">
      <c r="A126" s="8"/>
      <c r="B126" s="8"/>
      <c r="C126" s="8"/>
      <c r="D126" s="2"/>
      <c r="E126" s="12"/>
      <c r="F126" s="9"/>
      <c r="G126" s="9"/>
      <c r="H126" s="9"/>
      <c r="I126" s="9"/>
      <c r="J126" s="27"/>
      <c r="K126" s="27"/>
      <c r="L126" s="27"/>
      <c r="M126" s="27"/>
      <c r="N126" s="27"/>
    </row>
    <row r="127" spans="1:14" s="6" customFormat="1" x14ac:dyDescent="0.2">
      <c r="A127" s="8"/>
      <c r="B127" s="8"/>
      <c r="C127" s="8"/>
      <c r="D127" s="2"/>
      <c r="E127" s="12"/>
      <c r="F127" s="9"/>
      <c r="G127" s="9"/>
      <c r="H127" s="9"/>
      <c r="I127" s="9"/>
      <c r="J127" s="27"/>
      <c r="K127" s="27"/>
      <c r="L127" s="27"/>
      <c r="M127" s="27"/>
      <c r="N127" s="27"/>
    </row>
    <row r="128" spans="1:14" s="6" customFormat="1" x14ac:dyDescent="0.2">
      <c r="A128" s="8"/>
      <c r="B128" s="8"/>
      <c r="C128" s="8"/>
      <c r="D128" s="2"/>
      <c r="E128" s="12"/>
      <c r="F128" s="9"/>
      <c r="G128" s="9"/>
      <c r="H128" s="9"/>
      <c r="I128" s="9"/>
      <c r="J128" s="27"/>
      <c r="K128" s="27"/>
      <c r="L128" s="27"/>
      <c r="M128" s="27"/>
      <c r="N128" s="27"/>
    </row>
    <row r="129" spans="1:9" s="6" customFormat="1" x14ac:dyDescent="0.2">
      <c r="A129" s="8"/>
      <c r="B129" s="8"/>
      <c r="C129" s="8"/>
      <c r="D129" s="2"/>
      <c r="E129" s="12"/>
      <c r="F129" s="12"/>
      <c r="G129" s="12"/>
      <c r="H129" s="12"/>
      <c r="I129" s="12"/>
    </row>
    <row r="130" spans="1:9" x14ac:dyDescent="0.2">
      <c r="D130" s="2"/>
    </row>
    <row r="131" spans="1:9" x14ac:dyDescent="0.2">
      <c r="D131" s="2"/>
    </row>
    <row r="132" spans="1:9" x14ac:dyDescent="0.2">
      <c r="D132" s="2"/>
    </row>
    <row r="133" spans="1:9" x14ac:dyDescent="0.2">
      <c r="D133" s="2"/>
    </row>
    <row r="134" spans="1:9" x14ac:dyDescent="0.2">
      <c r="D134" s="2"/>
    </row>
    <row r="135" spans="1:9" x14ac:dyDescent="0.2">
      <c r="D135" s="2"/>
    </row>
    <row r="136" spans="1:9" x14ac:dyDescent="0.2">
      <c r="D136" s="2"/>
    </row>
    <row r="137" spans="1:9" x14ac:dyDescent="0.2">
      <c r="D137" s="2"/>
    </row>
    <row r="138" spans="1:9" x14ac:dyDescent="0.2">
      <c r="D138" s="2"/>
    </row>
    <row r="139" spans="1:9" x14ac:dyDescent="0.2">
      <c r="D139" s="2"/>
    </row>
    <row r="140" spans="1:9" x14ac:dyDescent="0.2">
      <c r="D140" s="2"/>
    </row>
    <row r="141" spans="1:9" x14ac:dyDescent="0.2">
      <c r="D141" s="2"/>
    </row>
    <row r="142" spans="1:9" x14ac:dyDescent="0.2">
      <c r="D142" s="2"/>
    </row>
    <row r="143" spans="1:9" x14ac:dyDescent="0.2">
      <c r="D143" s="2"/>
    </row>
    <row r="144" spans="1:9" x14ac:dyDescent="0.2">
      <c r="D144" s="2"/>
    </row>
    <row r="145" spans="4:4" x14ac:dyDescent="0.2">
      <c r="D145" s="2"/>
    </row>
    <row r="146" spans="4:4" x14ac:dyDescent="0.2">
      <c r="D146" s="2"/>
    </row>
    <row r="147" spans="4:4" x14ac:dyDescent="0.2">
      <c r="D147" s="2"/>
    </row>
    <row r="148" spans="4:4" x14ac:dyDescent="0.2">
      <c r="D148" s="2"/>
    </row>
    <row r="149" spans="4:4" x14ac:dyDescent="0.2">
      <c r="D149" s="2"/>
    </row>
    <row r="150" spans="4:4" x14ac:dyDescent="0.2">
      <c r="D150" s="2"/>
    </row>
    <row r="151" spans="4:4" x14ac:dyDescent="0.2">
      <c r="D151" s="2"/>
    </row>
    <row r="152" spans="4:4" x14ac:dyDescent="0.2">
      <c r="D152" s="2"/>
    </row>
    <row r="153" spans="4:4" x14ac:dyDescent="0.2">
      <c r="D153" s="2"/>
    </row>
    <row r="154" spans="4:4" x14ac:dyDescent="0.2">
      <c r="D154" s="2"/>
    </row>
    <row r="155" spans="4:4" x14ac:dyDescent="0.2">
      <c r="D155" s="2"/>
    </row>
    <row r="156" spans="4:4" x14ac:dyDescent="0.2">
      <c r="D156" s="2"/>
    </row>
    <row r="157" spans="4:4" x14ac:dyDescent="0.2">
      <c r="D157" s="2"/>
    </row>
    <row r="158" spans="4:4" x14ac:dyDescent="0.2">
      <c r="D158" s="2"/>
    </row>
    <row r="159" spans="4:4" x14ac:dyDescent="0.2">
      <c r="D159" s="2"/>
    </row>
    <row r="160" spans="4:4" x14ac:dyDescent="0.2">
      <c r="D160" s="2"/>
    </row>
    <row r="161" spans="4:4" x14ac:dyDescent="0.2">
      <c r="D161" s="2"/>
    </row>
    <row r="162" spans="4:4" x14ac:dyDescent="0.2">
      <c r="D162" s="2"/>
    </row>
    <row r="163" spans="4:4" x14ac:dyDescent="0.2">
      <c r="D163" s="2"/>
    </row>
    <row r="164" spans="4:4" x14ac:dyDescent="0.2">
      <c r="D164" s="2"/>
    </row>
    <row r="165" spans="4:4" x14ac:dyDescent="0.2">
      <c r="D165" s="2"/>
    </row>
    <row r="166" spans="4:4" x14ac:dyDescent="0.2">
      <c r="D166" s="2"/>
    </row>
    <row r="167" spans="4:4" x14ac:dyDescent="0.2">
      <c r="D167" s="2"/>
    </row>
    <row r="168" spans="4:4" x14ac:dyDescent="0.2">
      <c r="D168" s="2"/>
    </row>
    <row r="169" spans="4:4" x14ac:dyDescent="0.2">
      <c r="D169" s="2"/>
    </row>
    <row r="170" spans="4:4" x14ac:dyDescent="0.2">
      <c r="D170" s="2"/>
    </row>
    <row r="171" spans="4:4" x14ac:dyDescent="0.2">
      <c r="D171" s="2"/>
    </row>
    <row r="172" spans="4:4" x14ac:dyDescent="0.2">
      <c r="D172" s="2"/>
    </row>
    <row r="173" spans="4:4" x14ac:dyDescent="0.2">
      <c r="D173" s="2"/>
    </row>
    <row r="174" spans="4:4" x14ac:dyDescent="0.2">
      <c r="D174" s="2"/>
    </row>
    <row r="175" spans="4:4" x14ac:dyDescent="0.2">
      <c r="D175" s="2"/>
    </row>
    <row r="176" spans="4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</sheetData>
  <mergeCells count="8">
    <mergeCell ref="M54:N54"/>
    <mergeCell ref="M55:N55"/>
    <mergeCell ref="F2:Q2"/>
    <mergeCell ref="F3:Q3"/>
    <mergeCell ref="F4:Q4"/>
    <mergeCell ref="F5:Q5"/>
    <mergeCell ref="F6:Q6"/>
    <mergeCell ref="F7:Q7"/>
  </mergeCells>
  <printOptions horizontalCentered="1" verticalCentered="1"/>
  <pageMargins left="0.15748031496062992" right="0.15748031496062992" top="0.19685039370078741" bottom="0.19685039370078741" header="0.51181102362204722" footer="0.51181102362204722"/>
  <pageSetup scale="66" orientation="landscape" r:id="rId1"/>
  <ignoredErrors>
    <ignoredError sqref="G21:G22 G30 G23 G43 P16 P21 E54:O54 F55:O55 G18 G19 G20 G28 G29 H21:H22 H18:H20 H23 H28:H30 P15 P20 Q20:Q21 Q15:Q16" unlockedFormula="1"/>
    <ignoredError sqref="P30:Q3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workbookViewId="0">
      <selection activeCell="B3" sqref="B3:J3"/>
    </sheetView>
  </sheetViews>
  <sheetFormatPr baseColWidth="10" defaultRowHeight="11.25" x14ac:dyDescent="0.2"/>
  <cols>
    <col min="1" max="1" width="1.140625" style="172" customWidth="1"/>
    <col min="2" max="3" width="3.7109375" style="203" customWidth="1"/>
    <col min="4" max="4" width="46.42578125" style="203" customWidth="1"/>
    <col min="5" max="10" width="15.7109375" style="203" customWidth="1"/>
    <col min="11" max="11" width="2" style="172" customWidth="1"/>
    <col min="12" max="16384" width="11.42578125" style="203"/>
  </cols>
  <sheetData>
    <row r="1" spans="1:10" s="172" customFormat="1" x14ac:dyDescent="0.2"/>
    <row r="2" spans="1:10" x14ac:dyDescent="0.2">
      <c r="B2" s="614" t="str">
        <f>BALANZA!Q9</f>
        <v>Cuenta Pública 2016</v>
      </c>
      <c r="C2" s="615"/>
      <c r="D2" s="615"/>
      <c r="E2" s="615"/>
      <c r="F2" s="615"/>
      <c r="G2" s="615"/>
      <c r="H2" s="615"/>
      <c r="I2" s="615"/>
      <c r="J2" s="616"/>
    </row>
    <row r="3" spans="1:10" x14ac:dyDescent="0.2">
      <c r="B3" s="617" t="str">
        <f>BALANZA!Q6</f>
        <v>EL COLEGIO DE TLAXCALA, A.C.</v>
      </c>
      <c r="C3" s="618"/>
      <c r="D3" s="618"/>
      <c r="E3" s="618"/>
      <c r="F3" s="618"/>
      <c r="G3" s="618"/>
      <c r="H3" s="618"/>
      <c r="I3" s="618"/>
      <c r="J3" s="619"/>
    </row>
    <row r="4" spans="1:10" x14ac:dyDescent="0.2">
      <c r="B4" s="617" t="s">
        <v>846</v>
      </c>
      <c r="C4" s="618"/>
      <c r="D4" s="618"/>
      <c r="E4" s="618"/>
      <c r="F4" s="618"/>
      <c r="G4" s="618"/>
      <c r="H4" s="618"/>
      <c r="I4" s="618"/>
      <c r="J4" s="619"/>
    </row>
    <row r="5" spans="1:10" x14ac:dyDescent="0.2">
      <c r="B5" s="620" t="str">
        <f>BALANZA!Q8</f>
        <v>Del 1 de enero al 31 de marzo de 2016</v>
      </c>
      <c r="C5" s="621"/>
      <c r="D5" s="621"/>
      <c r="E5" s="621"/>
      <c r="F5" s="621"/>
      <c r="G5" s="621"/>
      <c r="H5" s="621"/>
      <c r="I5" s="621"/>
      <c r="J5" s="622"/>
    </row>
    <row r="6" spans="1:10" s="172" customFormat="1" x14ac:dyDescent="0.2">
      <c r="A6" s="173"/>
      <c r="B6" s="173"/>
      <c r="C6" s="173"/>
      <c r="D6" s="173"/>
      <c r="F6" s="174"/>
      <c r="G6" s="174"/>
      <c r="H6" s="174"/>
      <c r="I6" s="174"/>
      <c r="J6" s="174"/>
    </row>
    <row r="7" spans="1:10" ht="12" customHeight="1" x14ac:dyDescent="0.2">
      <c r="A7" s="175"/>
      <c r="B7" s="623" t="s">
        <v>847</v>
      </c>
      <c r="C7" s="623"/>
      <c r="D7" s="623"/>
      <c r="E7" s="623" t="s">
        <v>848</v>
      </c>
      <c r="F7" s="623"/>
      <c r="G7" s="623"/>
      <c r="H7" s="623"/>
      <c r="I7" s="623"/>
      <c r="J7" s="624" t="s">
        <v>849</v>
      </c>
    </row>
    <row r="8" spans="1:10" ht="22.5" x14ac:dyDescent="0.2">
      <c r="A8" s="173"/>
      <c r="B8" s="623"/>
      <c r="C8" s="623"/>
      <c r="D8" s="623"/>
      <c r="E8" s="176" t="s">
        <v>850</v>
      </c>
      <c r="F8" s="177" t="s">
        <v>851</v>
      </c>
      <c r="G8" s="176" t="s">
        <v>852</v>
      </c>
      <c r="H8" s="176" t="s">
        <v>853</v>
      </c>
      <c r="I8" s="176" t="s">
        <v>854</v>
      </c>
      <c r="J8" s="624"/>
    </row>
    <row r="9" spans="1:10" ht="12" customHeight="1" x14ac:dyDescent="0.2">
      <c r="A9" s="173"/>
      <c r="B9" s="623"/>
      <c r="C9" s="623"/>
      <c r="D9" s="623"/>
      <c r="E9" s="176" t="s">
        <v>855</v>
      </c>
      <c r="F9" s="176" t="s">
        <v>856</v>
      </c>
      <c r="G9" s="176" t="s">
        <v>857</v>
      </c>
      <c r="H9" s="176" t="s">
        <v>858</v>
      </c>
      <c r="I9" s="176" t="s">
        <v>859</v>
      </c>
      <c r="J9" s="176" t="s">
        <v>860</v>
      </c>
    </row>
    <row r="10" spans="1:10" ht="12" customHeight="1" x14ac:dyDescent="0.2">
      <c r="A10" s="178"/>
      <c r="B10" s="179"/>
      <c r="C10" s="180"/>
      <c r="D10" s="181"/>
      <c r="E10" s="182"/>
      <c r="F10" s="183"/>
      <c r="G10" s="183"/>
      <c r="H10" s="183"/>
      <c r="I10" s="183"/>
      <c r="J10" s="183"/>
    </row>
    <row r="11" spans="1:10" ht="12" customHeight="1" x14ac:dyDescent="0.2">
      <c r="A11" s="178"/>
      <c r="B11" s="625" t="s">
        <v>41</v>
      </c>
      <c r="C11" s="626"/>
      <c r="D11" s="627"/>
      <c r="E11" s="184">
        <v>0</v>
      </c>
      <c r="F11" s="184">
        <v>0</v>
      </c>
      <c r="G11" s="184">
        <f>+E11+F11</f>
        <v>0</v>
      </c>
      <c r="H11" s="184">
        <v>0</v>
      </c>
      <c r="I11" s="184">
        <v>0</v>
      </c>
      <c r="J11" s="184">
        <f>+I11-E11</f>
        <v>0</v>
      </c>
    </row>
    <row r="12" spans="1:10" ht="12" customHeight="1" x14ac:dyDescent="0.2">
      <c r="A12" s="178"/>
      <c r="B12" s="625" t="s">
        <v>214</v>
      </c>
      <c r="C12" s="626"/>
      <c r="D12" s="627"/>
      <c r="E12" s="184">
        <v>0</v>
      </c>
      <c r="F12" s="184">
        <v>0</v>
      </c>
      <c r="G12" s="184">
        <f t="shared" ref="G12:G24" si="0">+E12+F12</f>
        <v>0</v>
      </c>
      <c r="H12" s="184">
        <v>0</v>
      </c>
      <c r="I12" s="184">
        <v>0</v>
      </c>
      <c r="J12" s="184">
        <f t="shared" ref="J12:J24" si="1">+I12-E12</f>
        <v>0</v>
      </c>
    </row>
    <row r="13" spans="1:10" ht="12" customHeight="1" x14ac:dyDescent="0.2">
      <c r="A13" s="178"/>
      <c r="B13" s="625" t="s">
        <v>42</v>
      </c>
      <c r="C13" s="626"/>
      <c r="D13" s="627"/>
      <c r="E13" s="184">
        <v>0</v>
      </c>
      <c r="F13" s="184">
        <v>0</v>
      </c>
      <c r="G13" s="184">
        <f t="shared" si="0"/>
        <v>0</v>
      </c>
      <c r="H13" s="184">
        <v>0</v>
      </c>
      <c r="I13" s="184">
        <v>0</v>
      </c>
      <c r="J13" s="184">
        <f t="shared" si="1"/>
        <v>0</v>
      </c>
    </row>
    <row r="14" spans="1:10" ht="12" customHeight="1" x14ac:dyDescent="0.2">
      <c r="A14" s="178"/>
      <c r="B14" s="625" t="s">
        <v>43</v>
      </c>
      <c r="C14" s="626"/>
      <c r="D14" s="627"/>
      <c r="E14" s="547">
        <v>8175198</v>
      </c>
      <c r="F14" s="184">
        <v>0</v>
      </c>
      <c r="G14" s="547">
        <f t="shared" si="0"/>
        <v>8175198</v>
      </c>
      <c r="H14" s="547">
        <v>3815528</v>
      </c>
      <c r="I14" s="547">
        <f>BALANZA!J416</f>
        <v>3348711</v>
      </c>
      <c r="J14" s="547">
        <f>+I14-G14</f>
        <v>-4826487</v>
      </c>
    </row>
    <row r="15" spans="1:10" ht="12" customHeight="1" x14ac:dyDescent="0.2">
      <c r="A15" s="178"/>
      <c r="B15" s="625" t="s">
        <v>861</v>
      </c>
      <c r="C15" s="626"/>
      <c r="D15" s="627"/>
      <c r="E15" s="547">
        <f>+E16+E17</f>
        <v>15134</v>
      </c>
      <c r="F15" s="184">
        <f t="shared" ref="F15:J15" si="2">+F16+F17</f>
        <v>0</v>
      </c>
      <c r="G15" s="547">
        <f t="shared" si="2"/>
        <v>15134</v>
      </c>
      <c r="H15" s="547">
        <f t="shared" si="2"/>
        <v>3884</v>
      </c>
      <c r="I15" s="547">
        <f t="shared" si="2"/>
        <v>1785</v>
      </c>
      <c r="J15" s="547">
        <f t="shared" si="2"/>
        <v>-13349</v>
      </c>
    </row>
    <row r="16" spans="1:10" ht="12" customHeight="1" x14ac:dyDescent="0.2">
      <c r="A16" s="178"/>
      <c r="B16" s="185"/>
      <c r="C16" s="626" t="s">
        <v>862</v>
      </c>
      <c r="D16" s="627"/>
      <c r="E16" s="547">
        <v>15134</v>
      </c>
      <c r="F16" s="184">
        <v>0</v>
      </c>
      <c r="G16" s="547">
        <f t="shared" si="0"/>
        <v>15134</v>
      </c>
      <c r="H16" s="547">
        <v>3884</v>
      </c>
      <c r="I16" s="547">
        <f>BALANZA!J430</f>
        <v>1785</v>
      </c>
      <c r="J16" s="547">
        <f>+I16-G16</f>
        <v>-13349</v>
      </c>
    </row>
    <row r="17" spans="1:10" ht="12" customHeight="1" x14ac:dyDescent="0.2">
      <c r="A17" s="178"/>
      <c r="B17" s="185"/>
      <c r="C17" s="626" t="s">
        <v>863</v>
      </c>
      <c r="D17" s="627"/>
      <c r="E17" s="184">
        <v>0</v>
      </c>
      <c r="F17" s="184">
        <v>0</v>
      </c>
      <c r="G17" s="184">
        <f t="shared" si="0"/>
        <v>0</v>
      </c>
      <c r="H17" s="184">
        <v>0</v>
      </c>
      <c r="I17" s="184">
        <v>0</v>
      </c>
      <c r="J17" s="184">
        <f t="shared" si="1"/>
        <v>0</v>
      </c>
    </row>
    <row r="18" spans="1:10" ht="12" customHeight="1" x14ac:dyDescent="0.2">
      <c r="A18" s="178"/>
      <c r="B18" s="625" t="s">
        <v>864</v>
      </c>
      <c r="C18" s="626"/>
      <c r="D18" s="627"/>
      <c r="E18" s="547">
        <f>+E19+E20</f>
        <v>165000</v>
      </c>
      <c r="F18" s="184">
        <f t="shared" ref="F18:J18" si="3">+F19+F20</f>
        <v>0</v>
      </c>
      <c r="G18" s="547">
        <f t="shared" si="3"/>
        <v>165000</v>
      </c>
      <c r="H18" s="547">
        <f t="shared" si="3"/>
        <v>30000</v>
      </c>
      <c r="I18" s="184">
        <f t="shared" si="3"/>
        <v>0</v>
      </c>
      <c r="J18" s="547">
        <f t="shared" si="3"/>
        <v>-165000</v>
      </c>
    </row>
    <row r="19" spans="1:10" ht="12" customHeight="1" x14ac:dyDescent="0.2">
      <c r="A19" s="178"/>
      <c r="B19" s="185"/>
      <c r="C19" s="626" t="s">
        <v>862</v>
      </c>
      <c r="D19" s="627"/>
      <c r="E19" s="547">
        <v>165000</v>
      </c>
      <c r="F19" s="184">
        <v>0</v>
      </c>
      <c r="G19" s="547">
        <f t="shared" si="0"/>
        <v>165000</v>
      </c>
      <c r="H19" s="547">
        <v>30000</v>
      </c>
      <c r="I19" s="184">
        <f>BALANZA!J439</f>
        <v>0</v>
      </c>
      <c r="J19" s="547">
        <f>+I19-G19</f>
        <v>-165000</v>
      </c>
    </row>
    <row r="20" spans="1:10" ht="12" customHeight="1" x14ac:dyDescent="0.2">
      <c r="A20" s="178"/>
      <c r="B20" s="185"/>
      <c r="C20" s="626" t="s">
        <v>863</v>
      </c>
      <c r="D20" s="627"/>
      <c r="E20" s="184">
        <v>0</v>
      </c>
      <c r="F20" s="184">
        <v>0</v>
      </c>
      <c r="G20" s="184">
        <f t="shared" si="0"/>
        <v>0</v>
      </c>
      <c r="H20" s="184">
        <v>0</v>
      </c>
      <c r="I20" s="184">
        <v>0</v>
      </c>
      <c r="J20" s="184">
        <f t="shared" si="1"/>
        <v>0</v>
      </c>
    </row>
    <row r="21" spans="1:10" ht="12" customHeight="1" x14ac:dyDescent="0.2">
      <c r="A21" s="178"/>
      <c r="B21" s="625" t="s">
        <v>865</v>
      </c>
      <c r="C21" s="626"/>
      <c r="D21" s="627"/>
      <c r="E21" s="184">
        <v>0</v>
      </c>
      <c r="F21" s="184">
        <v>0</v>
      </c>
      <c r="G21" s="184">
        <f t="shared" si="0"/>
        <v>0</v>
      </c>
      <c r="H21" s="184">
        <v>0</v>
      </c>
      <c r="I21" s="184">
        <v>0</v>
      </c>
      <c r="J21" s="184">
        <f t="shared" si="1"/>
        <v>0</v>
      </c>
    </row>
    <row r="22" spans="1:10" ht="12" customHeight="1" x14ac:dyDescent="0.2">
      <c r="A22" s="178"/>
      <c r="B22" s="625" t="s">
        <v>51</v>
      </c>
      <c r="C22" s="626"/>
      <c r="D22" s="627"/>
      <c r="E22" s="184">
        <v>0</v>
      </c>
      <c r="F22" s="184">
        <v>0</v>
      </c>
      <c r="G22" s="184">
        <f t="shared" si="0"/>
        <v>0</v>
      </c>
      <c r="H22" s="184">
        <v>0</v>
      </c>
      <c r="I22" s="184">
        <v>0</v>
      </c>
      <c r="J22" s="184">
        <f t="shared" si="1"/>
        <v>0</v>
      </c>
    </row>
    <row r="23" spans="1:10" ht="12" customHeight="1" x14ac:dyDescent="0.2">
      <c r="A23" s="186"/>
      <c r="B23" s="625" t="s">
        <v>65</v>
      </c>
      <c r="C23" s="626"/>
      <c r="D23" s="627"/>
      <c r="E23" s="184">
        <v>0</v>
      </c>
      <c r="F23" s="184">
        <v>0</v>
      </c>
      <c r="G23" s="184">
        <f t="shared" si="0"/>
        <v>0</v>
      </c>
      <c r="H23" s="184">
        <v>0</v>
      </c>
      <c r="I23" s="184">
        <v>0</v>
      </c>
      <c r="J23" s="184">
        <f t="shared" si="1"/>
        <v>0</v>
      </c>
    </row>
    <row r="24" spans="1:10" ht="12" customHeight="1" x14ac:dyDescent="0.2">
      <c r="A24" s="178"/>
      <c r="B24" s="625" t="s">
        <v>866</v>
      </c>
      <c r="C24" s="626"/>
      <c r="D24" s="627"/>
      <c r="E24" s="184">
        <v>0</v>
      </c>
      <c r="F24" s="184">
        <v>0</v>
      </c>
      <c r="G24" s="184">
        <f t="shared" si="0"/>
        <v>0</v>
      </c>
      <c r="H24" s="184">
        <v>0</v>
      </c>
      <c r="I24" s="184">
        <v>0</v>
      </c>
      <c r="J24" s="184">
        <f t="shared" si="1"/>
        <v>0</v>
      </c>
    </row>
    <row r="25" spans="1:10" ht="12" customHeight="1" x14ac:dyDescent="0.2">
      <c r="A25" s="178"/>
      <c r="B25" s="187"/>
      <c r="C25" s="188"/>
      <c r="D25" s="189"/>
      <c r="E25" s="190"/>
      <c r="F25" s="191"/>
      <c r="G25" s="191"/>
      <c r="H25" s="191"/>
      <c r="I25" s="191"/>
      <c r="J25" s="191"/>
    </row>
    <row r="26" spans="1:10" ht="12" customHeight="1" x14ac:dyDescent="0.2">
      <c r="A26" s="173"/>
      <c r="B26" s="192"/>
      <c r="C26" s="193"/>
      <c r="D26" s="194" t="s">
        <v>867</v>
      </c>
      <c r="E26" s="547">
        <f>SUM(E11+E12+E13+E14+E15+E18+E21+E22+E23+E24)</f>
        <v>8355332</v>
      </c>
      <c r="F26" s="184">
        <f>SUM(F11+F12+F13+F14+F15+F18+F21+F22+F23+F24)</f>
        <v>0</v>
      </c>
      <c r="G26" s="547">
        <f>SUM(G11+G12+G13+G14+G15+G18+G21+G22+G23+G24)</f>
        <v>8355332</v>
      </c>
      <c r="H26" s="547">
        <f>SUM(H11+H12+H13+H14+H15+H18+H21+H22+H23+H24)</f>
        <v>3849412</v>
      </c>
      <c r="I26" s="547">
        <f>SUM(I11+I12+I13+I14+I15+I18+I21+I22+I23+I24)</f>
        <v>3350496</v>
      </c>
      <c r="J26" s="628">
        <f>SUM(J11:J24)</f>
        <v>-5183185</v>
      </c>
    </row>
    <row r="27" spans="1:10" ht="12" customHeight="1" x14ac:dyDescent="0.2">
      <c r="A27" s="178"/>
      <c r="B27" s="195"/>
      <c r="C27" s="195"/>
      <c r="D27" s="195"/>
      <c r="E27" s="195"/>
      <c r="F27" s="195"/>
      <c r="G27" s="195"/>
      <c r="H27" s="630" t="s">
        <v>868</v>
      </c>
      <c r="I27" s="631"/>
      <c r="J27" s="629"/>
    </row>
    <row r="28" spans="1:10" ht="12" customHeight="1" x14ac:dyDescent="0.2">
      <c r="A28" s="173"/>
      <c r="B28" s="173"/>
      <c r="C28" s="173"/>
      <c r="D28" s="173"/>
      <c r="E28" s="174"/>
      <c r="F28" s="174"/>
      <c r="G28" s="174"/>
      <c r="H28" s="174"/>
      <c r="I28" s="174"/>
      <c r="J28" s="174"/>
    </row>
    <row r="29" spans="1:10" ht="12" customHeight="1" x14ac:dyDescent="0.2">
      <c r="A29" s="173"/>
      <c r="B29" s="624" t="s">
        <v>869</v>
      </c>
      <c r="C29" s="624"/>
      <c r="D29" s="624"/>
      <c r="E29" s="623" t="s">
        <v>848</v>
      </c>
      <c r="F29" s="623"/>
      <c r="G29" s="623"/>
      <c r="H29" s="623"/>
      <c r="I29" s="623"/>
      <c r="J29" s="624" t="s">
        <v>849</v>
      </c>
    </row>
    <row r="30" spans="1:10" ht="22.5" x14ac:dyDescent="0.2">
      <c r="A30" s="173"/>
      <c r="B30" s="624"/>
      <c r="C30" s="624"/>
      <c r="D30" s="624"/>
      <c r="E30" s="176" t="s">
        <v>850</v>
      </c>
      <c r="F30" s="177" t="s">
        <v>851</v>
      </c>
      <c r="G30" s="176" t="s">
        <v>852</v>
      </c>
      <c r="H30" s="176" t="s">
        <v>853</v>
      </c>
      <c r="I30" s="176" t="s">
        <v>854</v>
      </c>
      <c r="J30" s="624"/>
    </row>
    <row r="31" spans="1:10" ht="12" customHeight="1" x14ac:dyDescent="0.2">
      <c r="A31" s="173"/>
      <c r="B31" s="624"/>
      <c r="C31" s="624"/>
      <c r="D31" s="624"/>
      <c r="E31" s="176" t="s">
        <v>855</v>
      </c>
      <c r="F31" s="176" t="s">
        <v>856</v>
      </c>
      <c r="G31" s="176" t="s">
        <v>857</v>
      </c>
      <c r="H31" s="176" t="s">
        <v>858</v>
      </c>
      <c r="I31" s="176" t="s">
        <v>859</v>
      </c>
      <c r="J31" s="176" t="s">
        <v>860</v>
      </c>
    </row>
    <row r="32" spans="1:10" ht="12" customHeight="1" x14ac:dyDescent="0.2">
      <c r="A32" s="178"/>
      <c r="B32" s="179"/>
      <c r="C32" s="180"/>
      <c r="D32" s="181"/>
      <c r="E32" s="183"/>
      <c r="F32" s="183"/>
      <c r="G32" s="183"/>
      <c r="H32" s="183"/>
      <c r="I32" s="183"/>
      <c r="J32" s="183"/>
    </row>
    <row r="33" spans="1:10" ht="12" customHeight="1" x14ac:dyDescent="0.2">
      <c r="A33" s="178"/>
      <c r="B33" s="196" t="s">
        <v>870</v>
      </c>
      <c r="C33" s="197"/>
      <c r="D33" s="198"/>
      <c r="E33" s="548">
        <f>+E34+E35+E36+E37+E40+E43+E44</f>
        <v>8355332</v>
      </c>
      <c r="F33" s="199">
        <f t="shared" ref="F33:J33" si="4">+F34+F35+F36+F37+F40+F43+F44</f>
        <v>0</v>
      </c>
      <c r="G33" s="548">
        <f t="shared" si="4"/>
        <v>8355332</v>
      </c>
      <c r="H33" s="548">
        <f t="shared" si="4"/>
        <v>3744000</v>
      </c>
      <c r="I33" s="548">
        <f t="shared" si="4"/>
        <v>3350496</v>
      </c>
      <c r="J33" s="548">
        <f t="shared" si="4"/>
        <v>-5004836</v>
      </c>
    </row>
    <row r="34" spans="1:10" ht="12" customHeight="1" x14ac:dyDescent="0.2">
      <c r="A34" s="178"/>
      <c r="B34" s="185"/>
      <c r="C34" s="626" t="s">
        <v>41</v>
      </c>
      <c r="D34" s="627"/>
      <c r="E34" s="184">
        <v>0</v>
      </c>
      <c r="F34" s="184">
        <v>0</v>
      </c>
      <c r="G34" s="184">
        <f>+E34+F34</f>
        <v>0</v>
      </c>
      <c r="H34" s="184">
        <v>0</v>
      </c>
      <c r="I34" s="184">
        <v>0</v>
      </c>
      <c r="J34" s="184">
        <f>+I34-E34</f>
        <v>0</v>
      </c>
    </row>
    <row r="35" spans="1:10" ht="12" customHeight="1" x14ac:dyDescent="0.2">
      <c r="A35" s="178"/>
      <c r="B35" s="185"/>
      <c r="C35" s="626" t="s">
        <v>42</v>
      </c>
      <c r="D35" s="627"/>
      <c r="E35" s="184">
        <v>0</v>
      </c>
      <c r="F35" s="184">
        <v>0</v>
      </c>
      <c r="G35" s="184">
        <f t="shared" ref="G35:G49" si="5">+E35+F35</f>
        <v>0</v>
      </c>
      <c r="H35" s="184">
        <v>0</v>
      </c>
      <c r="I35" s="184">
        <v>0</v>
      </c>
      <c r="J35" s="184">
        <f t="shared" ref="J35:J52" si="6">+I35-E35</f>
        <v>0</v>
      </c>
    </row>
    <row r="36" spans="1:10" ht="12" customHeight="1" x14ac:dyDescent="0.2">
      <c r="A36" s="178"/>
      <c r="B36" s="185"/>
      <c r="C36" s="626" t="s">
        <v>43</v>
      </c>
      <c r="D36" s="627"/>
      <c r="E36" s="547">
        <v>8175198</v>
      </c>
      <c r="F36" s="184">
        <v>0</v>
      </c>
      <c r="G36" s="547">
        <f t="shared" si="5"/>
        <v>8175198</v>
      </c>
      <c r="H36" s="547">
        <f>'PRONOSTICO DE INGRESOS'!O16</f>
        <v>3581500</v>
      </c>
      <c r="I36" s="547">
        <f>BALANZA!J416</f>
        <v>3348711</v>
      </c>
      <c r="J36" s="547">
        <f>+I36-G36</f>
        <v>-4826487</v>
      </c>
    </row>
    <row r="37" spans="1:10" ht="12" customHeight="1" x14ac:dyDescent="0.2">
      <c r="A37" s="178"/>
      <c r="B37" s="185"/>
      <c r="C37" s="626" t="s">
        <v>861</v>
      </c>
      <c r="D37" s="627"/>
      <c r="E37" s="547">
        <f>+E38+E39</f>
        <v>15134</v>
      </c>
      <c r="F37" s="184">
        <f t="shared" ref="F37" si="7">+F38+F39</f>
        <v>0</v>
      </c>
      <c r="G37" s="547">
        <f t="shared" si="5"/>
        <v>15134</v>
      </c>
      <c r="H37" s="547">
        <f t="shared" ref="H37" si="8">+H38+H39</f>
        <v>12500</v>
      </c>
      <c r="I37" s="547">
        <f t="shared" ref="I37:J37" si="9">+I38+I39</f>
        <v>1785</v>
      </c>
      <c r="J37" s="547">
        <f t="shared" si="9"/>
        <v>-13349</v>
      </c>
    </row>
    <row r="38" spans="1:10" ht="12" customHeight="1" x14ac:dyDescent="0.2">
      <c r="A38" s="178"/>
      <c r="B38" s="185"/>
      <c r="C38" s="200"/>
      <c r="D38" s="201" t="s">
        <v>862</v>
      </c>
      <c r="E38" s="547">
        <v>15134</v>
      </c>
      <c r="F38" s="184">
        <v>0</v>
      </c>
      <c r="G38" s="547">
        <f t="shared" si="5"/>
        <v>15134</v>
      </c>
      <c r="H38" s="547">
        <f>'PRONOSTICO DE INGRESOS'!O18</f>
        <v>12500</v>
      </c>
      <c r="I38" s="547">
        <f>BALANZA!J430</f>
        <v>1785</v>
      </c>
      <c r="J38" s="547">
        <f>+I38-G38</f>
        <v>-13349</v>
      </c>
    </row>
    <row r="39" spans="1:10" ht="12" customHeight="1" x14ac:dyDescent="0.2">
      <c r="A39" s="178"/>
      <c r="B39" s="185"/>
      <c r="C39" s="200"/>
      <c r="D39" s="201" t="s">
        <v>863</v>
      </c>
      <c r="E39" s="184">
        <v>0</v>
      </c>
      <c r="F39" s="184">
        <v>0</v>
      </c>
      <c r="G39" s="184">
        <f t="shared" si="5"/>
        <v>0</v>
      </c>
      <c r="H39" s="184">
        <v>0</v>
      </c>
      <c r="I39" s="184">
        <v>0</v>
      </c>
      <c r="J39" s="184">
        <f t="shared" ref="J39:J42" si="10">+I39-E39</f>
        <v>0</v>
      </c>
    </row>
    <row r="40" spans="1:10" ht="12" customHeight="1" x14ac:dyDescent="0.2">
      <c r="A40" s="178"/>
      <c r="B40" s="185"/>
      <c r="C40" s="626" t="s">
        <v>864</v>
      </c>
      <c r="D40" s="627"/>
      <c r="E40" s="547">
        <f>+E41+E42</f>
        <v>165000</v>
      </c>
      <c r="F40" s="184">
        <f t="shared" ref="F40" si="11">+F41+F42</f>
        <v>0</v>
      </c>
      <c r="G40" s="547">
        <f t="shared" si="5"/>
        <v>165000</v>
      </c>
      <c r="H40" s="547">
        <f t="shared" ref="H40" si="12">+H41+H42</f>
        <v>150000</v>
      </c>
      <c r="I40" s="547">
        <f t="shared" ref="I40:J40" si="13">+I41+I42</f>
        <v>0</v>
      </c>
      <c r="J40" s="547">
        <f t="shared" si="13"/>
        <v>-165000</v>
      </c>
    </row>
    <row r="41" spans="1:10" ht="12" customHeight="1" x14ac:dyDescent="0.2">
      <c r="A41" s="178"/>
      <c r="B41" s="185"/>
      <c r="C41" s="200"/>
      <c r="D41" s="201" t="s">
        <v>862</v>
      </c>
      <c r="E41" s="547">
        <v>165000</v>
      </c>
      <c r="F41" s="184">
        <v>0</v>
      </c>
      <c r="G41" s="547">
        <f t="shared" si="5"/>
        <v>165000</v>
      </c>
      <c r="H41" s="547">
        <f>'PRONOSTICO DE INGRESOS'!O20</f>
        <v>150000</v>
      </c>
      <c r="I41" s="547">
        <f>BALANZA!J439</f>
        <v>0</v>
      </c>
      <c r="J41" s="547">
        <f>+I41-G41</f>
        <v>-165000</v>
      </c>
    </row>
    <row r="42" spans="1:10" ht="12" customHeight="1" x14ac:dyDescent="0.2">
      <c r="A42" s="178"/>
      <c r="B42" s="185"/>
      <c r="C42" s="200"/>
      <c r="D42" s="201" t="s">
        <v>863</v>
      </c>
      <c r="E42" s="184">
        <v>0</v>
      </c>
      <c r="F42" s="184">
        <v>0</v>
      </c>
      <c r="G42" s="184">
        <f t="shared" si="5"/>
        <v>0</v>
      </c>
      <c r="H42" s="184">
        <v>0</v>
      </c>
      <c r="I42" s="184">
        <v>0</v>
      </c>
      <c r="J42" s="184">
        <f t="shared" si="10"/>
        <v>0</v>
      </c>
    </row>
    <row r="43" spans="1:10" ht="12" customHeight="1" x14ac:dyDescent="0.2">
      <c r="A43" s="178"/>
      <c r="B43" s="185"/>
      <c r="C43" s="626" t="s">
        <v>51</v>
      </c>
      <c r="D43" s="627"/>
      <c r="E43" s="184">
        <v>0</v>
      </c>
      <c r="F43" s="184">
        <v>0</v>
      </c>
      <c r="G43" s="184">
        <f t="shared" si="5"/>
        <v>0</v>
      </c>
      <c r="H43" s="184">
        <v>0</v>
      </c>
      <c r="I43" s="184">
        <v>0</v>
      </c>
      <c r="J43" s="184">
        <f t="shared" si="6"/>
        <v>0</v>
      </c>
    </row>
    <row r="44" spans="1:10" ht="12" customHeight="1" x14ac:dyDescent="0.2">
      <c r="A44" s="178"/>
      <c r="B44" s="185"/>
      <c r="C44" s="626" t="s">
        <v>65</v>
      </c>
      <c r="D44" s="627"/>
      <c r="E44" s="184">
        <v>0</v>
      </c>
      <c r="F44" s="184">
        <v>0</v>
      </c>
      <c r="G44" s="184">
        <f t="shared" si="5"/>
        <v>0</v>
      </c>
      <c r="H44" s="184">
        <v>0</v>
      </c>
      <c r="I44" s="184">
        <v>0</v>
      </c>
      <c r="J44" s="184">
        <f t="shared" si="6"/>
        <v>0</v>
      </c>
    </row>
    <row r="45" spans="1:10" ht="12" customHeight="1" x14ac:dyDescent="0.2">
      <c r="A45" s="178"/>
      <c r="B45" s="185"/>
      <c r="C45" s="200"/>
      <c r="D45" s="201"/>
      <c r="E45" s="184"/>
      <c r="F45" s="184"/>
      <c r="G45" s="202"/>
      <c r="H45" s="184"/>
      <c r="I45" s="184"/>
      <c r="J45" s="202"/>
    </row>
    <row r="46" spans="1:10" ht="12" customHeight="1" x14ac:dyDescent="0.2">
      <c r="A46" s="178"/>
      <c r="B46" s="196" t="s">
        <v>871</v>
      </c>
      <c r="C46" s="197"/>
      <c r="D46" s="201"/>
      <c r="E46" s="199">
        <f>+E47+E48+E49</f>
        <v>0</v>
      </c>
      <c r="F46" s="199">
        <f>+F47+F48+F49</f>
        <v>0</v>
      </c>
      <c r="G46" s="199">
        <f>+G47+G48+G49</f>
        <v>0</v>
      </c>
      <c r="H46" s="199">
        <f>+H47+H48+H49</f>
        <v>0</v>
      </c>
      <c r="I46" s="199">
        <f>+I47+I48+I49</f>
        <v>0</v>
      </c>
      <c r="J46" s="199">
        <f t="shared" si="6"/>
        <v>0</v>
      </c>
    </row>
    <row r="47" spans="1:10" ht="12" customHeight="1" x14ac:dyDescent="0.2">
      <c r="A47" s="178"/>
      <c r="B47" s="196"/>
      <c r="C47" s="626" t="s">
        <v>214</v>
      </c>
      <c r="D47" s="627"/>
      <c r="E47" s="184">
        <v>0</v>
      </c>
      <c r="F47" s="184">
        <v>0</v>
      </c>
      <c r="G47" s="184">
        <f t="shared" si="5"/>
        <v>0</v>
      </c>
      <c r="H47" s="184">
        <v>0</v>
      </c>
      <c r="I47" s="184">
        <v>0</v>
      </c>
      <c r="J47" s="184">
        <f t="shared" si="6"/>
        <v>0</v>
      </c>
    </row>
    <row r="48" spans="1:10" ht="12" customHeight="1" x14ac:dyDescent="0.2">
      <c r="A48" s="178"/>
      <c r="B48" s="185"/>
      <c r="C48" s="626" t="s">
        <v>865</v>
      </c>
      <c r="D48" s="627"/>
      <c r="E48" s="184">
        <v>0</v>
      </c>
      <c r="F48" s="184">
        <v>0</v>
      </c>
      <c r="G48" s="184">
        <f t="shared" si="5"/>
        <v>0</v>
      </c>
      <c r="H48" s="184">
        <v>0</v>
      </c>
      <c r="I48" s="184">
        <v>0</v>
      </c>
      <c r="J48" s="184">
        <f t="shared" si="6"/>
        <v>0</v>
      </c>
    </row>
    <row r="49" spans="1:11" ht="12" customHeight="1" x14ac:dyDescent="0.2">
      <c r="A49" s="178"/>
      <c r="B49" s="185"/>
      <c r="C49" s="626" t="s">
        <v>65</v>
      </c>
      <c r="D49" s="627"/>
      <c r="E49" s="184">
        <v>0</v>
      </c>
      <c r="F49" s="184">
        <v>0</v>
      </c>
      <c r="G49" s="184">
        <f t="shared" si="5"/>
        <v>0</v>
      </c>
      <c r="H49" s="184">
        <v>0</v>
      </c>
      <c r="I49" s="184">
        <v>0</v>
      </c>
      <c r="J49" s="184">
        <f t="shared" si="6"/>
        <v>0</v>
      </c>
    </row>
    <row r="50" spans="1:11" s="209" customFormat="1" ht="12" customHeight="1" x14ac:dyDescent="0.2">
      <c r="A50" s="173"/>
      <c r="B50" s="204"/>
      <c r="C50" s="205"/>
      <c r="D50" s="206"/>
      <c r="E50" s="207"/>
      <c r="F50" s="207"/>
      <c r="G50" s="207"/>
      <c r="H50" s="207"/>
      <c r="I50" s="207"/>
      <c r="J50" s="207"/>
      <c r="K50" s="208"/>
    </row>
    <row r="51" spans="1:11" ht="12" customHeight="1" x14ac:dyDescent="0.2">
      <c r="A51" s="178"/>
      <c r="B51" s="196" t="s">
        <v>872</v>
      </c>
      <c r="C51" s="210"/>
      <c r="D51" s="201"/>
      <c r="E51" s="199">
        <f>+E52</f>
        <v>0</v>
      </c>
      <c r="F51" s="199">
        <f>+F52</f>
        <v>0</v>
      </c>
      <c r="G51" s="199">
        <f>+G52</f>
        <v>0</v>
      </c>
      <c r="H51" s="199">
        <f>+H52</f>
        <v>0</v>
      </c>
      <c r="I51" s="199">
        <f>+I52</f>
        <v>0</v>
      </c>
      <c r="J51" s="199">
        <f t="shared" si="6"/>
        <v>0</v>
      </c>
    </row>
    <row r="52" spans="1:11" ht="12" customHeight="1" x14ac:dyDescent="0.2">
      <c r="A52" s="178"/>
      <c r="B52" s="185"/>
      <c r="C52" s="626" t="s">
        <v>866</v>
      </c>
      <c r="D52" s="627"/>
      <c r="E52" s="184">
        <v>0</v>
      </c>
      <c r="F52" s="184">
        <v>0</v>
      </c>
      <c r="G52" s="184">
        <f t="shared" ref="G52" si="14">+E52+F52</f>
        <v>0</v>
      </c>
      <c r="H52" s="184">
        <v>0</v>
      </c>
      <c r="I52" s="184">
        <v>0</v>
      </c>
      <c r="J52" s="184">
        <f t="shared" si="6"/>
        <v>0</v>
      </c>
    </row>
    <row r="53" spans="1:11" ht="12" customHeight="1" x14ac:dyDescent="0.2">
      <c r="A53" s="178"/>
      <c r="B53" s="187"/>
      <c r="C53" s="188"/>
      <c r="D53" s="189"/>
      <c r="E53" s="191"/>
      <c r="F53" s="191"/>
      <c r="G53" s="191"/>
      <c r="H53" s="191"/>
      <c r="I53" s="191"/>
      <c r="J53" s="191"/>
    </row>
    <row r="54" spans="1:11" ht="12" customHeight="1" x14ac:dyDescent="0.2">
      <c r="A54" s="173"/>
      <c r="B54" s="192"/>
      <c r="C54" s="193"/>
      <c r="D54" s="211" t="s">
        <v>867</v>
      </c>
      <c r="E54" s="547">
        <f>+E34+E35+E36+E37+E40+E43+E44+E46+E51</f>
        <v>8355332</v>
      </c>
      <c r="F54" s="547">
        <f t="shared" ref="F54:I54" si="15">+F34+F35+F36+F37+F40+F43+F44+F46+F51</f>
        <v>0</v>
      </c>
      <c r="G54" s="547">
        <f t="shared" si="15"/>
        <v>8355332</v>
      </c>
      <c r="H54" s="547">
        <f t="shared" si="15"/>
        <v>3744000</v>
      </c>
      <c r="I54" s="547">
        <f t="shared" si="15"/>
        <v>3350496</v>
      </c>
      <c r="J54" s="633">
        <f>+J33+J46+J51</f>
        <v>-5004836</v>
      </c>
    </row>
    <row r="55" spans="1:11" x14ac:dyDescent="0.2">
      <c r="A55" s="178"/>
      <c r="B55" s="195"/>
      <c r="C55" s="195"/>
      <c r="D55" s="195"/>
      <c r="E55" s="195"/>
      <c r="F55" s="195"/>
      <c r="G55" s="195"/>
      <c r="H55" s="630" t="s">
        <v>868</v>
      </c>
      <c r="I55" s="631"/>
      <c r="J55" s="634"/>
    </row>
    <row r="56" spans="1:11" x14ac:dyDescent="0.2">
      <c r="A56" s="178"/>
      <c r="B56" s="632"/>
      <c r="C56" s="632"/>
      <c r="D56" s="632"/>
      <c r="E56" s="632"/>
      <c r="F56" s="632"/>
      <c r="G56" s="632"/>
      <c r="H56" s="632"/>
      <c r="I56" s="632"/>
      <c r="J56" s="632"/>
    </row>
    <row r="57" spans="1:11" x14ac:dyDescent="0.2">
      <c r="B57" s="172" t="s">
        <v>873</v>
      </c>
      <c r="C57" s="172"/>
      <c r="D57" s="172"/>
      <c r="E57" s="172"/>
      <c r="F57" s="172"/>
      <c r="G57" s="172"/>
      <c r="H57" s="172"/>
      <c r="I57" s="172"/>
      <c r="J57" s="172"/>
    </row>
    <row r="58" spans="1:11" x14ac:dyDescent="0.2">
      <c r="B58" s="172"/>
      <c r="C58" s="172"/>
      <c r="D58" s="172"/>
      <c r="E58" s="172"/>
      <c r="F58" s="172"/>
      <c r="G58" s="172"/>
      <c r="H58" s="172"/>
      <c r="I58" s="172"/>
      <c r="J58" s="172"/>
    </row>
    <row r="59" spans="1:11" x14ac:dyDescent="0.2">
      <c r="B59" s="172"/>
      <c r="C59" s="172"/>
      <c r="D59" s="172"/>
      <c r="E59" s="172"/>
      <c r="F59" s="172"/>
      <c r="G59" s="172"/>
      <c r="H59" s="172"/>
      <c r="I59" s="172"/>
      <c r="J59" s="172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J3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H12" sqref="H12"/>
    </sheetView>
  </sheetViews>
  <sheetFormatPr baseColWidth="10" defaultRowHeight="15" x14ac:dyDescent="0.25"/>
  <cols>
    <col min="1" max="1" width="2.28515625" style="212" customWidth="1"/>
    <col min="2" max="2" width="3.28515625" style="203" customWidth="1"/>
    <col min="3" max="3" width="52.5703125" style="203" customWidth="1"/>
    <col min="4" max="9" width="12.7109375" style="203" customWidth="1"/>
    <col min="10" max="10" width="2.7109375" style="212" customWidth="1"/>
  </cols>
  <sheetData>
    <row r="1" spans="2:9" s="212" customFormat="1" x14ac:dyDescent="0.25">
      <c r="B1" s="172"/>
      <c r="C1" s="172"/>
      <c r="D1" s="172"/>
      <c r="E1" s="172"/>
      <c r="F1" s="172"/>
      <c r="G1" s="172"/>
      <c r="H1" s="172"/>
      <c r="I1" s="172"/>
    </row>
    <row r="2" spans="2:9" x14ac:dyDescent="0.25">
      <c r="B2" s="614" t="str">
        <f>BALANZA!Q9</f>
        <v>Cuenta Pública 2016</v>
      </c>
      <c r="C2" s="615"/>
      <c r="D2" s="615"/>
      <c r="E2" s="615"/>
      <c r="F2" s="615"/>
      <c r="G2" s="615"/>
      <c r="H2" s="615"/>
      <c r="I2" s="616"/>
    </row>
    <row r="3" spans="2:9" x14ac:dyDescent="0.25">
      <c r="B3" s="617" t="str">
        <f>BALANZA!Q6</f>
        <v>EL COLEGIO DE TLAXCALA, A.C.</v>
      </c>
      <c r="C3" s="618"/>
      <c r="D3" s="618"/>
      <c r="E3" s="618"/>
      <c r="F3" s="618"/>
      <c r="G3" s="618"/>
      <c r="H3" s="618"/>
      <c r="I3" s="619"/>
    </row>
    <row r="4" spans="2:9" x14ac:dyDescent="0.25">
      <c r="B4" s="617" t="s">
        <v>874</v>
      </c>
      <c r="C4" s="618"/>
      <c r="D4" s="618"/>
      <c r="E4" s="618"/>
      <c r="F4" s="618"/>
      <c r="G4" s="618"/>
      <c r="H4" s="618"/>
      <c r="I4" s="619"/>
    </row>
    <row r="5" spans="2:9" x14ac:dyDescent="0.25">
      <c r="B5" s="617" t="s">
        <v>875</v>
      </c>
      <c r="C5" s="618"/>
      <c r="D5" s="618"/>
      <c r="E5" s="618"/>
      <c r="F5" s="618"/>
      <c r="G5" s="618"/>
      <c r="H5" s="618"/>
      <c r="I5" s="619"/>
    </row>
    <row r="6" spans="2:9" x14ac:dyDescent="0.25">
      <c r="B6" s="620" t="str">
        <f>BALANZA!Q8</f>
        <v>Del 1 de enero al 31 de marzo de 2016</v>
      </c>
      <c r="C6" s="621"/>
      <c r="D6" s="621"/>
      <c r="E6" s="621"/>
      <c r="F6" s="621"/>
      <c r="G6" s="621"/>
      <c r="H6" s="621"/>
      <c r="I6" s="622"/>
    </row>
    <row r="7" spans="2:9" s="212" customFormat="1" x14ac:dyDescent="0.25">
      <c r="B7" s="172"/>
      <c r="C7" s="172"/>
      <c r="D7" s="172"/>
      <c r="E7" s="172"/>
      <c r="F7" s="172"/>
      <c r="G7" s="172"/>
      <c r="H7" s="172"/>
      <c r="I7" s="172"/>
    </row>
    <row r="8" spans="2:9" x14ac:dyDescent="0.25">
      <c r="B8" s="635" t="s">
        <v>40</v>
      </c>
      <c r="C8" s="635"/>
      <c r="D8" s="636" t="s">
        <v>876</v>
      </c>
      <c r="E8" s="636"/>
      <c r="F8" s="636"/>
      <c r="G8" s="636"/>
      <c r="H8" s="636"/>
      <c r="I8" s="636" t="s">
        <v>877</v>
      </c>
    </row>
    <row r="9" spans="2:9" ht="22.5" x14ac:dyDescent="0.25">
      <c r="B9" s="635"/>
      <c r="C9" s="635"/>
      <c r="D9" s="213" t="s">
        <v>878</v>
      </c>
      <c r="E9" s="213" t="s">
        <v>879</v>
      </c>
      <c r="F9" s="213" t="s">
        <v>852</v>
      </c>
      <c r="G9" s="213" t="s">
        <v>853</v>
      </c>
      <c r="H9" s="213" t="s">
        <v>880</v>
      </c>
      <c r="I9" s="636"/>
    </row>
    <row r="10" spans="2:9" x14ac:dyDescent="0.25">
      <c r="B10" s="635"/>
      <c r="C10" s="635"/>
      <c r="D10" s="213">
        <v>1</v>
      </c>
      <c r="E10" s="213">
        <v>2</v>
      </c>
      <c r="F10" s="213" t="s">
        <v>881</v>
      </c>
      <c r="G10" s="213">
        <v>4</v>
      </c>
      <c r="H10" s="213">
        <v>5</v>
      </c>
      <c r="I10" s="213" t="s">
        <v>882</v>
      </c>
    </row>
    <row r="11" spans="2:9" x14ac:dyDescent="0.25">
      <c r="B11" s="214"/>
      <c r="C11" s="215"/>
      <c r="D11" s="216"/>
      <c r="E11" s="216"/>
      <c r="F11" s="216"/>
      <c r="G11" s="216"/>
      <c r="H11" s="216"/>
      <c r="I11" s="216"/>
    </row>
    <row r="12" spans="2:9" x14ac:dyDescent="0.25">
      <c r="B12" s="217"/>
      <c r="C12" s="218" t="s">
        <v>1023</v>
      </c>
      <c r="D12" s="549">
        <v>19818362</v>
      </c>
      <c r="E12" s="549">
        <v>0</v>
      </c>
      <c r="F12" s="549">
        <f>+D12+E12</f>
        <v>19818362</v>
      </c>
      <c r="G12" s="549">
        <v>5425890</v>
      </c>
      <c r="H12" s="549">
        <f>BALANZA!J492</f>
        <v>5431090</v>
      </c>
      <c r="I12" s="549">
        <f>+F12-H12</f>
        <v>14387272</v>
      </c>
    </row>
    <row r="13" spans="2:9" x14ac:dyDescent="0.25">
      <c r="B13" s="217"/>
      <c r="C13" s="218"/>
      <c r="D13" s="219"/>
      <c r="E13" s="219"/>
      <c r="F13" s="219">
        <f t="shared" ref="F13:F20" si="0">+D13+E13</f>
        <v>0</v>
      </c>
      <c r="G13" s="219"/>
      <c r="H13" s="219"/>
      <c r="I13" s="219">
        <f t="shared" ref="I13:I20" si="1">+F13-G13</f>
        <v>0</v>
      </c>
    </row>
    <row r="14" spans="2:9" x14ac:dyDescent="0.25">
      <c r="B14" s="217"/>
      <c r="C14" s="218"/>
      <c r="D14" s="219"/>
      <c r="E14" s="219"/>
      <c r="F14" s="219">
        <f t="shared" si="0"/>
        <v>0</v>
      </c>
      <c r="G14" s="219"/>
      <c r="H14" s="219"/>
      <c r="I14" s="219">
        <f t="shared" si="1"/>
        <v>0</v>
      </c>
    </row>
    <row r="15" spans="2:9" x14ac:dyDescent="0.25">
      <c r="B15" s="217"/>
      <c r="C15" s="218"/>
      <c r="D15" s="219"/>
      <c r="E15" s="219"/>
      <c r="F15" s="219">
        <f t="shared" si="0"/>
        <v>0</v>
      </c>
      <c r="G15" s="219"/>
      <c r="H15" s="219"/>
      <c r="I15" s="219">
        <f t="shared" si="1"/>
        <v>0</v>
      </c>
    </row>
    <row r="16" spans="2:9" x14ac:dyDescent="0.25">
      <c r="B16" s="217"/>
      <c r="C16" s="218"/>
      <c r="D16" s="219"/>
      <c r="E16" s="219"/>
      <c r="F16" s="219">
        <f t="shared" si="0"/>
        <v>0</v>
      </c>
      <c r="G16" s="219"/>
      <c r="H16" s="219"/>
      <c r="I16" s="219">
        <f t="shared" si="1"/>
        <v>0</v>
      </c>
    </row>
    <row r="17" spans="1:10" x14ac:dyDescent="0.25">
      <c r="B17" s="217"/>
      <c r="C17" s="218"/>
      <c r="D17" s="219"/>
      <c r="E17" s="219"/>
      <c r="F17" s="219">
        <f t="shared" si="0"/>
        <v>0</v>
      </c>
      <c r="G17" s="219"/>
      <c r="H17" s="219"/>
      <c r="I17" s="219">
        <f t="shared" si="1"/>
        <v>0</v>
      </c>
    </row>
    <row r="18" spans="1:10" x14ac:dyDescent="0.25">
      <c r="B18" s="217"/>
      <c r="C18" s="218"/>
      <c r="D18" s="219"/>
      <c r="E18" s="219"/>
      <c r="F18" s="219">
        <f t="shared" si="0"/>
        <v>0</v>
      </c>
      <c r="G18" s="219"/>
      <c r="H18" s="219"/>
      <c r="I18" s="219">
        <f t="shared" si="1"/>
        <v>0</v>
      </c>
    </row>
    <row r="19" spans="1:10" x14ac:dyDescent="0.25">
      <c r="B19" s="217"/>
      <c r="C19" s="218"/>
      <c r="D19" s="219"/>
      <c r="E19" s="219"/>
      <c r="F19" s="219">
        <f t="shared" si="0"/>
        <v>0</v>
      </c>
      <c r="G19" s="219"/>
      <c r="H19" s="219"/>
      <c r="I19" s="219">
        <f t="shared" si="1"/>
        <v>0</v>
      </c>
    </row>
    <row r="20" spans="1:10" x14ac:dyDescent="0.25">
      <c r="B20" s="217"/>
      <c r="C20" s="218"/>
      <c r="D20" s="219"/>
      <c r="E20" s="219"/>
      <c r="F20" s="219">
        <f t="shared" si="0"/>
        <v>0</v>
      </c>
      <c r="G20" s="219"/>
      <c r="H20" s="219"/>
      <c r="I20" s="219">
        <f t="shared" si="1"/>
        <v>0</v>
      </c>
    </row>
    <row r="21" spans="1:10" x14ac:dyDescent="0.25">
      <c r="B21" s="220"/>
      <c r="C21" s="221"/>
      <c r="D21" s="222"/>
      <c r="E21" s="222"/>
      <c r="F21" s="222"/>
      <c r="G21" s="222"/>
      <c r="H21" s="222"/>
      <c r="I21" s="222"/>
    </row>
    <row r="22" spans="1:10" s="226" customFormat="1" x14ac:dyDescent="0.25">
      <c r="A22" s="223"/>
      <c r="B22" s="224"/>
      <c r="C22" s="225" t="s">
        <v>883</v>
      </c>
      <c r="D22" s="559">
        <f>SUM(D12:D20)</f>
        <v>19818362</v>
      </c>
      <c r="E22" s="559">
        <f t="shared" ref="E22:I22" si="2">SUM(E12:E20)</f>
        <v>0</v>
      </c>
      <c r="F22" s="559">
        <f t="shared" si="2"/>
        <v>19818362</v>
      </c>
      <c r="G22" s="559">
        <f t="shared" si="2"/>
        <v>5425890</v>
      </c>
      <c r="H22" s="559">
        <f t="shared" si="2"/>
        <v>5431090</v>
      </c>
      <c r="I22" s="559">
        <f t="shared" si="2"/>
        <v>14387272</v>
      </c>
      <c r="J22" s="223"/>
    </row>
    <row r="23" spans="1:10" x14ac:dyDescent="0.25">
      <c r="B23" s="562"/>
      <c r="C23" s="562"/>
      <c r="D23" s="562"/>
      <c r="E23" s="562"/>
      <c r="F23" s="562"/>
      <c r="G23" s="562"/>
      <c r="H23" s="562"/>
      <c r="I23" s="562"/>
    </row>
    <row r="24" spans="1:10" x14ac:dyDescent="0.25">
      <c r="B24" s="562"/>
      <c r="C24" s="562"/>
      <c r="D24" s="562"/>
      <c r="E24" s="562"/>
      <c r="F24" s="562"/>
      <c r="G24" s="562"/>
      <c r="H24" s="562"/>
      <c r="I24" s="562"/>
    </row>
    <row r="25" spans="1:10" x14ac:dyDescent="0.25">
      <c r="B25" s="562"/>
      <c r="C25" s="562"/>
      <c r="D25" s="562"/>
      <c r="E25" s="562"/>
      <c r="F25" s="562"/>
      <c r="G25" s="562"/>
      <c r="H25" s="562"/>
      <c r="I25" s="562"/>
    </row>
    <row r="26" spans="1:10" x14ac:dyDescent="0.25">
      <c r="B26" s="563"/>
      <c r="C26" s="563"/>
      <c r="D26" s="563"/>
      <c r="E26" s="563"/>
      <c r="F26" s="563"/>
      <c r="G26" s="563"/>
      <c r="H26" s="563"/>
      <c r="I26" s="563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6</vt:i4>
      </vt:variant>
    </vt:vector>
  </HeadingPairs>
  <TitlesOfParts>
    <vt:vector size="29" baseType="lpstr">
      <vt:lpstr>EDO DE ACTIVIDADES</vt:lpstr>
      <vt:lpstr>SITUACION FINANCIERA</vt:lpstr>
      <vt:lpstr>EDO DE CAMBIOS</vt:lpstr>
      <vt:lpstr>ANALITICO DEL ACTIVO</vt:lpstr>
      <vt:lpstr>DEUDA Y OTROS PASIVOS</vt:lpstr>
      <vt:lpstr>ESTADO DE VARIACIÓN</vt:lpstr>
      <vt:lpstr>FLUJOS DE EFECTIVO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BInmu</vt:lpstr>
      <vt:lpstr>Rel Cta Banc</vt:lpstr>
      <vt:lpstr>BMu</vt:lpstr>
      <vt:lpstr>BALANZA</vt:lpstr>
      <vt:lpstr>BALANZA (2)</vt:lpstr>
      <vt:lpstr>PRONOSTICO DE INGRESOS</vt:lpstr>
      <vt:lpstr>PRESUPUESTO DE EGRESOS</vt:lpstr>
      <vt:lpstr>BALANZA!_ftn1</vt:lpstr>
      <vt:lpstr>'BALANZA (2)'!_ftn1</vt:lpstr>
      <vt:lpstr>BALANZA!_ftnref1</vt:lpstr>
      <vt:lpstr>'BALANZA (2)'!_ftnref1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Usuario24</cp:lastModifiedBy>
  <cp:lastPrinted>2016-04-04T16:56:42Z</cp:lastPrinted>
  <dcterms:created xsi:type="dcterms:W3CDTF">2014-08-12T01:23:14Z</dcterms:created>
  <dcterms:modified xsi:type="dcterms:W3CDTF">2016-04-06T19:13:16Z</dcterms:modified>
</cp:coreProperties>
</file>