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600" yWindow="750" windowWidth="19875" windowHeight="10920" tabRatio="750" activeTab="19"/>
  </bookViews>
  <sheets>
    <sheet name="EA" sheetId="5" r:id="rId1"/>
    <sheet name="ESF" sheetId="1" r:id="rId2"/>
    <sheet name="ECSF" sheetId="2" r:id="rId3"/>
    <sheet name="EAA" sheetId="8" r:id="rId4"/>
    <sheet name="EADP" sheetId="9" r:id="rId5"/>
    <sheet name="EVHP" sheetId="7" r:id="rId6"/>
    <sheet name="EFE" sheetId="10" r:id="rId7"/>
    <sheet name="PT_ESF_ECSF" sheetId="3" state="hidden" r:id="rId8"/>
    <sheet name="EAI" sheetId="12" r:id="rId9"/>
    <sheet name="CAdmon" sheetId="13" r:id="rId10"/>
    <sheet name="COG" sheetId="15" r:id="rId11"/>
    <sheet name="CTG" sheetId="14" r:id="rId12"/>
    <sheet name="CFG" sheetId="16" r:id="rId13"/>
    <sheet name="End Neto" sheetId="17" r:id="rId14"/>
    <sheet name="Int" sheetId="18" r:id="rId15"/>
    <sheet name="Post Fiscal" sheetId="20" r:id="rId16"/>
    <sheet name="CProg" sheetId="19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3">EAA!$A$1:$I$45</definedName>
    <definedName name="_xlnm.Print_Area" localSheetId="4">EADP!$A$1:$J$54</definedName>
    <definedName name="_xlnm.Print_Area" localSheetId="2">ECSF!$A$1:$K$64</definedName>
    <definedName name="_xlnm.Print_Area" localSheetId="6">EFE!$A$1:$Q$57</definedName>
    <definedName name="_xlnm.Print_Area" localSheetId="1">ESF!$A$1:$L$75</definedName>
    <definedName name="_xlnm.Print_Area" localSheetId="5">EVHP!$A$1:$I$48</definedName>
  </definedNames>
  <calcPr calcId="125725"/>
</workbook>
</file>

<file path=xl/calcChain.xml><?xml version="1.0" encoding="utf-8"?>
<calcChain xmlns="http://schemas.openxmlformats.org/spreadsheetml/2006/main">
  <c r="E48" i="15"/>
  <c r="I12" i="13"/>
  <c r="J44" i="12"/>
  <c r="J23"/>
  <c r="F22" i="7"/>
  <c r="F35"/>
  <c r="G14" i="10"/>
  <c r="E12" i="5"/>
  <c r="D12"/>
  <c r="D489" i="21"/>
  <c r="D488"/>
  <c r="D487"/>
  <c r="D486"/>
  <c r="D485"/>
  <c r="D484"/>
  <c r="D475"/>
  <c r="D468"/>
  <c r="D467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3"/>
  <c r="D422"/>
  <c r="D421"/>
  <c r="D420"/>
  <c r="D419"/>
  <c r="D418"/>
  <c r="D417"/>
  <c r="D416"/>
  <c r="D415"/>
  <c r="D414"/>
  <c r="D413"/>
  <c r="D407"/>
  <c r="D406"/>
  <c r="D405"/>
  <c r="D404"/>
  <c r="D403"/>
  <c r="D402"/>
  <c r="D401"/>
  <c r="D400"/>
  <c r="D399"/>
  <c r="D378"/>
  <c r="D377"/>
  <c r="D376"/>
  <c r="D346"/>
  <c r="D345"/>
  <c r="D344"/>
  <c r="D343"/>
  <c r="D342"/>
  <c r="D328"/>
  <c r="D321"/>
  <c r="D320"/>
  <c r="D319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5"/>
  <c r="D291"/>
  <c r="D289"/>
  <c r="D287"/>
  <c r="D286"/>
  <c r="D285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2"/>
  <c r="D259"/>
  <c r="D258"/>
  <c r="D257"/>
  <c r="D256"/>
  <c r="D255"/>
  <c r="D254"/>
  <c r="D248"/>
  <c r="D247"/>
  <c r="D246"/>
  <c r="D241"/>
  <c r="D240"/>
  <c r="D234"/>
  <c r="D233"/>
  <c r="D228"/>
  <c r="D220"/>
  <c r="D216"/>
  <c r="D210"/>
  <c r="D197"/>
  <c r="D196"/>
  <c r="D195"/>
  <c r="D193"/>
  <c r="D186"/>
  <c r="D185"/>
  <c r="D184"/>
  <c r="D181"/>
  <c r="D180"/>
  <c r="D179"/>
  <c r="D173"/>
  <c r="D167"/>
  <c r="D168" s="1"/>
  <c r="D160"/>
  <c r="D159"/>
  <c r="D158"/>
  <c r="D157"/>
  <c r="D156"/>
  <c r="D155"/>
  <c r="D154"/>
  <c r="D153"/>
  <c r="D152"/>
  <c r="D151"/>
  <c r="D150"/>
  <c r="D149"/>
  <c r="D137"/>
  <c r="D134"/>
  <c r="D131"/>
  <c r="D130"/>
  <c r="D129"/>
  <c r="D128"/>
  <c r="D127"/>
  <c r="D126"/>
  <c r="D125"/>
  <c r="D124"/>
  <c r="D123"/>
  <c r="D122"/>
  <c r="D121"/>
  <c r="D120"/>
  <c r="D119"/>
  <c r="D71"/>
  <c r="D70"/>
  <c r="D69"/>
  <c r="D56"/>
  <c r="D42"/>
  <c r="E26" i="12" l="1"/>
  <c r="F15"/>
  <c r="H15"/>
  <c r="C27" i="20" l="1"/>
  <c r="C31" s="1"/>
  <c r="E11"/>
  <c r="D11"/>
  <c r="C11"/>
  <c r="I35" i="19"/>
  <c r="H35"/>
  <c r="F35"/>
  <c r="E35"/>
  <c r="I30"/>
  <c r="H30"/>
  <c r="F30"/>
  <c r="E30"/>
  <c r="I27"/>
  <c r="H27"/>
  <c r="F27"/>
  <c r="G27" s="1"/>
  <c r="E27"/>
  <c r="I23"/>
  <c r="H23"/>
  <c r="F23"/>
  <c r="E23"/>
  <c r="G39"/>
  <c r="J39" s="1"/>
  <c r="G38"/>
  <c r="J38" s="1"/>
  <c r="G37"/>
  <c r="J37" s="1"/>
  <c r="G36"/>
  <c r="J36" s="1"/>
  <c r="G34"/>
  <c r="J34" s="1"/>
  <c r="G33"/>
  <c r="J33" s="1"/>
  <c r="G32"/>
  <c r="J32" s="1"/>
  <c r="G31"/>
  <c r="J31" s="1"/>
  <c r="G30"/>
  <c r="G29"/>
  <c r="J29" s="1"/>
  <c r="G28"/>
  <c r="J28" s="1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4" s="1"/>
  <c r="J14" s="1"/>
  <c r="G13"/>
  <c r="J13" s="1"/>
  <c r="G12"/>
  <c r="J12" s="1"/>
  <c r="I11"/>
  <c r="H11"/>
  <c r="H41" s="1"/>
  <c r="F11"/>
  <c r="F41" s="1"/>
  <c r="E11"/>
  <c r="E41" s="1"/>
  <c r="C33" i="18"/>
  <c r="B33"/>
  <c r="C18"/>
  <c r="B18"/>
  <c r="F31" i="17"/>
  <c r="D31"/>
  <c r="F19"/>
  <c r="D19"/>
  <c r="F46" i="16"/>
  <c r="I46" s="1"/>
  <c r="F45"/>
  <c r="I45" s="1"/>
  <c r="F44"/>
  <c r="I44" s="1"/>
  <c r="F43"/>
  <c r="I43" s="1"/>
  <c r="H42"/>
  <c r="G42"/>
  <c r="E42"/>
  <c r="D42"/>
  <c r="I3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H31"/>
  <c r="G31"/>
  <c r="E31"/>
  <c r="D3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D12"/>
  <c r="H74" i="15"/>
  <c r="G74"/>
  <c r="E74"/>
  <c r="D74"/>
  <c r="H70"/>
  <c r="G70"/>
  <c r="E70"/>
  <c r="D70"/>
  <c r="H62"/>
  <c r="G62"/>
  <c r="E62"/>
  <c r="D62"/>
  <c r="H58"/>
  <c r="G58"/>
  <c r="D58"/>
  <c r="H48"/>
  <c r="G48"/>
  <c r="D48"/>
  <c r="H38"/>
  <c r="G38"/>
  <c r="D38"/>
  <c r="H28"/>
  <c r="G28"/>
  <c r="E28"/>
  <c r="D28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H10"/>
  <c r="G10"/>
  <c r="I17"/>
  <c r="F16"/>
  <c r="I16" s="1"/>
  <c r="F15"/>
  <c r="I15" s="1"/>
  <c r="F14"/>
  <c r="I14" s="1"/>
  <c r="F13"/>
  <c r="I13" s="1"/>
  <c r="I12"/>
  <c r="F11"/>
  <c r="I11" s="1"/>
  <c r="E10"/>
  <c r="D10"/>
  <c r="F16" i="14"/>
  <c r="I16" s="1"/>
  <c r="F14"/>
  <c r="I14" s="1"/>
  <c r="F12"/>
  <c r="H18"/>
  <c r="G18"/>
  <c r="E18"/>
  <c r="D18"/>
  <c r="F12" i="13"/>
  <c r="H22"/>
  <c r="G22"/>
  <c r="E22"/>
  <c r="D22"/>
  <c r="J52" i="12"/>
  <c r="J49"/>
  <c r="J48"/>
  <c r="J47"/>
  <c r="J46"/>
  <c r="J43"/>
  <c r="J42"/>
  <c r="J41"/>
  <c r="J39"/>
  <c r="J38"/>
  <c r="J36"/>
  <c r="J35"/>
  <c r="J34"/>
  <c r="G52"/>
  <c r="G51" s="1"/>
  <c r="G49"/>
  <c r="G48"/>
  <c r="G47"/>
  <c r="G46" s="1"/>
  <c r="G35"/>
  <c r="G36"/>
  <c r="G39"/>
  <c r="G41"/>
  <c r="G40" s="1"/>
  <c r="G42"/>
  <c r="G43"/>
  <c r="G44"/>
  <c r="G34"/>
  <c r="I51"/>
  <c r="I46"/>
  <c r="I40"/>
  <c r="I37"/>
  <c r="I33" s="1"/>
  <c r="H51"/>
  <c r="D27" i="20" s="1"/>
  <c r="D31" s="1"/>
  <c r="H46" i="12"/>
  <c r="H40"/>
  <c r="H37"/>
  <c r="H54" s="1"/>
  <c r="F51"/>
  <c r="F46"/>
  <c r="F40"/>
  <c r="F37"/>
  <c r="F33" s="1"/>
  <c r="E51"/>
  <c r="E46"/>
  <c r="E40"/>
  <c r="J40" s="1"/>
  <c r="E37"/>
  <c r="E33" s="1"/>
  <c r="J24"/>
  <c r="J22"/>
  <c r="J21"/>
  <c r="J20"/>
  <c r="J19"/>
  <c r="J17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26"/>
  <c r="F18"/>
  <c r="F26"/>
  <c r="E18"/>
  <c r="G18" s="1"/>
  <c r="E15"/>
  <c r="H19" i="17" l="1"/>
  <c r="H21" i="14"/>
  <c r="D21"/>
  <c r="E7" i="20"/>
  <c r="E15" s="1"/>
  <c r="E19" s="1"/>
  <c r="E23" s="1"/>
  <c r="C9"/>
  <c r="C7" s="1"/>
  <c r="C15" s="1"/>
  <c r="C19" s="1"/>
  <c r="C23" s="1"/>
  <c r="G35" i="19"/>
  <c r="J35"/>
  <c r="I41"/>
  <c r="G23"/>
  <c r="G11"/>
  <c r="G41" s="1"/>
  <c r="C35" i="18"/>
  <c r="B35"/>
  <c r="H31" i="17"/>
  <c r="H33"/>
  <c r="F33"/>
  <c r="F42" i="16"/>
  <c r="G48"/>
  <c r="G50" s="1"/>
  <c r="F31"/>
  <c r="I31" s="1"/>
  <c r="D48"/>
  <c r="E48"/>
  <c r="E50" s="1"/>
  <c r="H48"/>
  <c r="H50" s="1"/>
  <c r="F22"/>
  <c r="I22" s="1"/>
  <c r="F70" i="15"/>
  <c r="F62"/>
  <c r="I62" s="1"/>
  <c r="F58"/>
  <c r="F48"/>
  <c r="I48" s="1"/>
  <c r="F38"/>
  <c r="H82"/>
  <c r="H84" s="1"/>
  <c r="F28"/>
  <c r="F18"/>
  <c r="I18" s="1"/>
  <c r="F10"/>
  <c r="I10" s="1"/>
  <c r="G82"/>
  <c r="G84" s="1"/>
  <c r="E82"/>
  <c r="E21" i="14"/>
  <c r="F18"/>
  <c r="G21"/>
  <c r="D50" i="16"/>
  <c r="I54" i="12"/>
  <c r="E27" i="20" s="1"/>
  <c r="E31" s="1"/>
  <c r="F54" i="12"/>
  <c r="E84" i="15"/>
  <c r="I22" i="13"/>
  <c r="J37" i="12"/>
  <c r="J33" s="1"/>
  <c r="J54" s="1"/>
  <c r="F12" i="16"/>
  <c r="H33" i="12"/>
  <c r="D33" i="17"/>
  <c r="G37" i="12"/>
  <c r="G33" s="1"/>
  <c r="J23" i="19"/>
  <c r="J51" i="12"/>
  <c r="I12" i="14"/>
  <c r="I18" s="1"/>
  <c r="I26" i="12"/>
  <c r="D82" i="15"/>
  <c r="D84" s="1"/>
  <c r="E54" i="12"/>
  <c r="I16" i="16"/>
  <c r="I12" s="1"/>
  <c r="F22" i="13"/>
  <c r="J18" i="12"/>
  <c r="J30" i="19"/>
  <c r="J27"/>
  <c r="F48" i="16"/>
  <c r="I42"/>
  <c r="F74" i="15"/>
  <c r="I70"/>
  <c r="I58"/>
  <c r="I38"/>
  <c r="J15" i="12"/>
  <c r="G26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G31"/>
  <c r="H31" s="1"/>
  <c r="G30"/>
  <c r="H30" s="1"/>
  <c r="D29"/>
  <c r="G29" s="1"/>
  <c r="D28"/>
  <c r="G28" s="1"/>
  <c r="H28" s="1"/>
  <c r="D24"/>
  <c r="G19"/>
  <c r="D20"/>
  <c r="G20" s="1"/>
  <c r="H20" s="1"/>
  <c r="D2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F14" s="1"/>
  <c r="E16"/>
  <c r="E14" s="1"/>
  <c r="H38" i="7"/>
  <c r="H37"/>
  <c r="G34"/>
  <c r="D34"/>
  <c r="H32"/>
  <c r="H31"/>
  <c r="H30"/>
  <c r="G29"/>
  <c r="F29"/>
  <c r="E29"/>
  <c r="D29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D22"/>
  <c r="J17"/>
  <c r="I17"/>
  <c r="J12"/>
  <c r="I12"/>
  <c r="I51" s="1"/>
  <c r="E33"/>
  <c r="D18" i="2"/>
  <c r="E120" i="3" s="1"/>
  <c r="J18" i="2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E161"/>
  <c r="I48" i="2"/>
  <c r="E162" i="3" s="1"/>
  <c r="I49" i="2"/>
  <c r="J49" s="1"/>
  <c r="E213" i="3" s="1"/>
  <c r="E164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63"/>
  <c r="J48" i="2"/>
  <c r="E212" i="3" s="1"/>
  <c r="E145"/>
  <c r="J22" i="2"/>
  <c r="E193" i="3" s="1"/>
  <c r="E143"/>
  <c r="E139"/>
  <c r="J40" i="2"/>
  <c r="E206" i="3" s="1"/>
  <c r="E214"/>
  <c r="J32" i="2"/>
  <c r="E201" i="3" s="1"/>
  <c r="E151"/>
  <c r="E140"/>
  <c r="J34" i="2"/>
  <c r="E203" i="3" s="1"/>
  <c r="E153"/>
  <c r="E15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D35"/>
  <c r="E135" i="3" s="1"/>
  <c r="D36" i="2"/>
  <c r="E36" s="1"/>
  <c r="E186" i="3" s="1"/>
  <c r="D28" i="2"/>
  <c r="E28" s="1"/>
  <c r="E178" i="3" s="1"/>
  <c r="D19" i="2"/>
  <c r="E121" i="3" s="1"/>
  <c r="D20" i="2"/>
  <c r="E20" s="1"/>
  <c r="E172" i="3" s="1"/>
  <c r="D21" i="2"/>
  <c r="D22"/>
  <c r="E124" i="3" s="1"/>
  <c r="D23" i="2"/>
  <c r="D24"/>
  <c r="E24" s="1"/>
  <c r="E176" i="3" s="1"/>
  <c r="E21" i="2"/>
  <c r="E173" i="3"/>
  <c r="E123"/>
  <c r="E132"/>
  <c r="E171"/>
  <c r="E35" i="2"/>
  <c r="E185" i="3" s="1"/>
  <c r="E34" i="2"/>
  <c r="E184" i="3"/>
  <c r="E134"/>
  <c r="E180"/>
  <c r="E23" i="2"/>
  <c r="E175" i="3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J11" i="19" l="1"/>
  <c r="J41" s="1"/>
  <c r="F21" i="14"/>
  <c r="E122" i="3"/>
  <c r="E126"/>
  <c r="E167"/>
  <c r="J25" i="2"/>
  <c r="E196" i="3" s="1"/>
  <c r="E144"/>
  <c r="K20" i="8"/>
  <c r="D7" i="20"/>
  <c r="D15" s="1"/>
  <c r="D19" s="1"/>
  <c r="D23" s="1"/>
  <c r="H29" i="7"/>
  <c r="I48" i="16"/>
  <c r="I28" i="15"/>
  <c r="I21" i="14"/>
  <c r="H29" i="8"/>
  <c r="K29"/>
  <c r="E34" i="7"/>
  <c r="H36"/>
  <c r="J38" i="2"/>
  <c r="E205" i="3" s="1"/>
  <c r="E136"/>
  <c r="J29" i="2"/>
  <c r="J51" i="5"/>
  <c r="J53" s="1"/>
  <c r="J52" i="1" s="1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G40" i="7"/>
  <c r="I50" i="16"/>
  <c r="I28" i="9"/>
  <c r="J26" i="12"/>
  <c r="F50" i="16"/>
  <c r="J54" i="2"/>
  <c r="D33" i="5"/>
  <c r="I53" s="1"/>
  <c r="I52" i="1" s="1"/>
  <c r="H35" i="7" s="1"/>
  <c r="D27"/>
  <c r="D40" s="1"/>
  <c r="G54" i="12"/>
  <c r="I74" i="15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E40" i="7"/>
  <c r="I40" i="1"/>
  <c r="E43"/>
  <c r="E77" i="3" s="1"/>
  <c r="J40" i="1"/>
  <c r="E94" i="3" s="1"/>
  <c r="E189"/>
  <c r="H18" i="8"/>
  <c r="K18"/>
  <c r="E170" i="3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I27" i="2"/>
  <c r="E147" i="3" s="1"/>
  <c r="J31" i="2"/>
  <c r="E200" i="3" s="1"/>
  <c r="E198"/>
  <c r="K22" i="8"/>
  <c r="K28"/>
  <c r="D26"/>
  <c r="G26" s="1"/>
  <c r="H26" s="1"/>
  <c r="E22" i="2"/>
  <c r="D16"/>
  <c r="E119" i="3" s="1"/>
  <c r="H50" i="9"/>
  <c r="I82" i="15" l="1"/>
  <c r="I84" s="1"/>
  <c r="I50" i="9"/>
  <c r="H22" i="7"/>
  <c r="E100" i="3"/>
  <c r="F21" i="7"/>
  <c r="H21" s="1"/>
  <c r="J52" i="2"/>
  <c r="E215" i="3" s="1"/>
  <c r="E216"/>
  <c r="G16" i="8"/>
  <c r="G14" s="1"/>
  <c r="D14"/>
  <c r="F34" i="7"/>
  <c r="F40" s="1"/>
  <c r="H40" s="1"/>
  <c r="J50" i="1"/>
  <c r="E99" i="3" s="1"/>
  <c r="O43" i="10"/>
  <c r="P43"/>
  <c r="P48" s="1"/>
  <c r="O47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I50" i="1"/>
  <c r="E48" i="3"/>
  <c r="F27" i="7" l="1"/>
  <c r="H27" s="1"/>
  <c r="H34"/>
  <c r="J63" i="1"/>
  <c r="K27" i="7" s="1"/>
  <c r="H16" i="8"/>
  <c r="H14" s="1"/>
  <c r="O48" i="10"/>
  <c r="O54" s="1"/>
  <c r="E197" i="3"/>
  <c r="E169"/>
  <c r="E14" i="2"/>
  <c r="E168" i="3" s="1"/>
  <c r="E160"/>
  <c r="I44" i="2"/>
  <c r="E47" i="3"/>
  <c r="I63" i="1"/>
  <c r="K40" i="7" s="1"/>
  <c r="J65" i="1" l="1"/>
  <c r="E108" i="3"/>
  <c r="E109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<sst xmlns="http://schemas.openxmlformats.org/spreadsheetml/2006/main" count="1985" uniqueCount="1025">
  <si>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</si>
  <si>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</si>
  <si>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</si>
  <si>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</si>
  <si>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</si>
  <si>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</si>
  <si>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</si>
  <si>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</si>
  <si>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</si>
  <si>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</si>
  <si>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</si>
  <si>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</si>
  <si>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</si>
  <si>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</si>
  <si>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</si>
  <si>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</si>
  <si>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</si>
  <si>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</si>
  <si>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</si>
  <si>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</si>
  <si>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</si>
  <si>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</si>
  <si>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</si>
  <si>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</si>
  <si>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</si>
  <si>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</si>
  <si>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</si>
  <si>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</si>
  <si>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</si>
  <si>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</si>
  <si>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</si>
  <si>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</si>
  <si>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</si>
  <si>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</si>
  <si>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</si>
  <si>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</si>
  <si>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</si>
  <si>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</si>
  <si>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</si>
  <si>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</si>
  <si>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</si>
  <si>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</si>
  <si>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</si>
  <si>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</si>
  <si>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</si>
  <si>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</si>
  <si>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</si>
  <si>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</si>
  <si>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</si>
  <si>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</si>
  <si>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</si>
  <si>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</si>
  <si>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</si>
  <si>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</si>
  <si>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</si>
  <si>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</si>
  <si>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</si>
  <si>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</si>
  <si>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</si>
  <si>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</si>
  <si>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</si>
  <si>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</si>
  <si>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</si>
  <si>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</si>
  <si>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</si>
  <si>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</si>
  <si>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</si>
  <si>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</si>
  <si>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</si>
  <si>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</si>
  <si>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</si>
  <si>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</si>
  <si>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</si>
  <si>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</si>
  <si>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</si>
  <si>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</si>
  <si>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</si>
  <si>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</si>
  <si>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</si>
  <si>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</si>
  <si>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</si>
  <si>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</si>
  <si>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</si>
  <si>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</si>
  <si>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</si>
  <si>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</si>
  <si>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</si>
  <si>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</si>
  <si>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</si>
  <si>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</si>
  <si>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</si>
  <si>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</si>
  <si>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</si>
  <si>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</si>
  <si>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</si>
  <si>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</si>
  <si>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</si>
  <si>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</si>
  <si>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</si>
  <si>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</si>
  <si>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</si>
  <si>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</si>
  <si>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</si>
  <si>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</si>
  <si>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</si>
  <si>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</si>
  <si>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</si>
  <si>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</si>
  <si>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</si>
  <si>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</si>
  <si>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</si>
  <si>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</si>
  <si>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</si>
  <si>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</si>
  <si>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</si>
  <si>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</si>
  <si>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</si>
  <si>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</si>
  <si>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</si>
  <si>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</si>
  <si>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</si>
  <si>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</si>
  <si>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</si>
  <si>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</si>
  <si>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</si>
  <si>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</si>
  <si>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</si>
  <si>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</si>
  <si>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</si>
  <si>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</si>
  <si>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</si>
  <si>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</si>
  <si>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</si>
  <si>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</si>
  <si>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</si>
  <si>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</si>
  <si>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</si>
  <si>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</si>
  <si>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</si>
  <si>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</si>
  <si>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</si>
  <si>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</si>
  <si>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</si>
  <si>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</si>
  <si>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</si>
  <si>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</si>
  <si>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</si>
  <si>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</si>
  <si>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</si>
  <si>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</si>
  <si>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</si>
  <si>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</si>
  <si>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</si>
  <si>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</si>
  <si>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</si>
  <si>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</si>
  <si>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</si>
  <si>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</si>
  <si>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</si>
  <si>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</si>
  <si>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</si>
  <si>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</si>
  <si>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</si>
  <si>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</si>
  <si>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</si>
  <si>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</si>
  <si>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</si>
  <si>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</si>
  <si>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</si>
  <si>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</si>
  <si>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</si>
  <si>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</si>
  <si>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</si>
  <si>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</si>
  <si>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</si>
  <si>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</si>
  <si>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</si>
  <si>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</si>
  <si>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</si>
  <si>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</si>
  <si>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</si>
  <si>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</si>
  <si>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</si>
  <si>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</si>
  <si>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</si>
  <si>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</si>
  <si>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</si>
  <si>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</si>
  <si>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</si>
  <si>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</si>
  <si>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</si>
  <si>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</si>
  <si>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</si>
  <si>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</si>
  <si>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</si>
  <si>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</si>
  <si>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</si>
  <si>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</si>
  <si>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</si>
  <si>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</si>
  <si>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</si>
  <si>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</si>
  <si>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</si>
  <si>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</si>
  <si>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</si>
  <si>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</si>
  <si>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</si>
  <si>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</si>
  <si>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</si>
  <si>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</si>
  <si>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</si>
  <si>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</si>
  <si>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</si>
  <si>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</si>
  <si>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</si>
  <si>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</si>
  <si>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</si>
  <si>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</si>
  <si>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</si>
  <si>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</si>
  <si>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</si>
  <si>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</si>
  <si>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</si>
  <si>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</si>
  <si>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</si>
  <si>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</si>
  <si>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</si>
  <si>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</si>
  <si>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</si>
  <si>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</si>
  <si>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</si>
  <si>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</si>
  <si>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</si>
  <si>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</si>
  <si>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</si>
  <si>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</si>
  <si>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</si>
  <si>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</si>
  <si>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</si>
  <si>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</si>
  <si>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</si>
  <si>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</si>
  <si>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</si>
  <si>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</si>
  <si>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</si>
  <si>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</si>
  <si>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</si>
  <si>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</si>
  <si>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</si>
  <si>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</si>
  <si>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</si>
  <si>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</si>
  <si>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</si>
  <si>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</si>
  <si>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</si>
  <si>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</si>
  <si>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</si>
  <si>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</si>
  <si>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</si>
  <si>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</si>
  <si>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</si>
  <si>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</si>
  <si>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</si>
  <si>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</si>
  <si>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</si>
  <si>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</si>
  <si>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</si>
  <si>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</si>
  <si>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</si>
  <si>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</si>
  <si>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</si>
  <si>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</si>
  <si>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</si>
  <si>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</si>
  <si>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</si>
  <si>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</si>
  <si>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</si>
  <si>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</si>
  <si>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</si>
  <si>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</si>
  <si>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</si>
  <si>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</si>
  <si>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</si>
  <si>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</si>
  <si>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</si>
  <si>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</si>
  <si>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</si>
  <si>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</si>
  <si>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</si>
  <si>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</si>
  <si>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</si>
  <si>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</si>
  <si>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</si>
  <si>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</si>
  <si>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</si>
  <si>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</si>
  <si>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</si>
  <si>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</si>
  <si>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</si>
  <si>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</si>
  <si>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</si>
  <si>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</si>
  <si>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</si>
  <si>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</si>
  <si>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</si>
  <si>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</si>
  <si>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</si>
  <si>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</si>
  <si>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</si>
  <si>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</si>
  <si>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</si>
  <si>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</si>
  <si>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</si>
  <si>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</si>
  <si>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</si>
  <si>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</si>
  <si>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</si>
  <si>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</si>
  <si>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</si>
  <si>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</si>
  <si>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</si>
  <si>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</si>
  <si>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</si>
  <si>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</si>
  <si>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</si>
  <si>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</si>
  <si>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</si>
  <si>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</si>
  <si>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</si>
  <si>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</si>
  <si>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</si>
  <si>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</si>
  <si>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</si>
  <si>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</si>
  <si>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</si>
  <si>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</si>
  <si>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</si>
  <si>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</si>
  <si>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</si>
  <si>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</si>
  <si>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</si>
  <si>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</si>
  <si>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</si>
  <si>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</si>
  <si>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</si>
  <si>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</si>
  <si>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</si>
  <si>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</si>
  <si>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</si>
  <si>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</si>
  <si>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</si>
  <si>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</si>
  <si>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</si>
  <si>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</si>
  <si>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</si>
  <si>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</si>
  <si>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</si>
  <si>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</si>
  <si>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</si>
  <si>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</si>
  <si>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</si>
  <si>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</si>
  <si>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</si>
  <si>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</si>
  <si>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</si>
  <si>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</si>
  <si>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</si>
  <si>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</si>
  <si>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</si>
  <si>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</si>
  <si>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</si>
  <si>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</si>
  <si>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</si>
  <si>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</si>
  <si>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</si>
  <si>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</si>
  <si>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</si>
  <si>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</si>
  <si>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</si>
  <si>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</si>
  <si>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</si>
  <si>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</si>
  <si>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</si>
  <si>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</si>
  <si>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</si>
  <si>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</si>
  <si>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</si>
  <si>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</si>
  <si>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</si>
  <si>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</si>
  <si>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</si>
  <si>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</si>
  <si>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</si>
  <si>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</si>
  <si>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</si>
  <si>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</si>
  <si>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</si>
  <si>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</si>
  <si>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</si>
  <si>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</si>
  <si>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</si>
  <si>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</si>
  <si>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</si>
  <si>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</si>
  <si>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</si>
  <si>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</si>
  <si>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</si>
  <si>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</si>
  <si>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</si>
  <si>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 xml:space="preserve"> Sector Paraestatal</t>
  </si>
  <si>
    <t>Clasificación por Objeto del Gasto (Capítulo y Concepto)</t>
  </si>
  <si>
    <t>FPATVD-029/05</t>
  </si>
  <si>
    <t>FPATVD-030/06</t>
  </si>
  <si>
    <t>FPATVD-031/07</t>
  </si>
  <si>
    <t>FP/ATVD-032/05</t>
  </si>
  <si>
    <t>FP/ATVD-033/05</t>
  </si>
  <si>
    <t>FP/ATVD-001/05</t>
  </si>
  <si>
    <t>FP/ATVD-002/05</t>
  </si>
  <si>
    <t>FP/ATVD-003/05</t>
  </si>
  <si>
    <t>FP/ATVD-004/05</t>
  </si>
  <si>
    <t>FP/ATVD-005/05</t>
  </si>
  <si>
    <t>FP/ATVD-006/05</t>
  </si>
  <si>
    <t>FP/ATVD-007/05</t>
  </si>
  <si>
    <t>FP/ATVD-008/05</t>
  </si>
  <si>
    <t>FP/ATVD-009/05</t>
  </si>
  <si>
    <t>FP/ATVD-010/05</t>
  </si>
  <si>
    <t>FP/ATVD-011/05</t>
  </si>
  <si>
    <t>FP/ATVD-012/05</t>
  </si>
  <si>
    <t>FP/ATVD-013/05</t>
  </si>
  <si>
    <t>FP/ATVD-014/05</t>
  </si>
  <si>
    <t>FP/ATVD-015/05</t>
  </si>
  <si>
    <t>FP/ATVD-016/05</t>
  </si>
  <si>
    <t>FP/ATVD-017/05</t>
  </si>
  <si>
    <t>FP/ATVD-018/05</t>
  </si>
  <si>
    <t>FP/ATVD-019/05</t>
  </si>
  <si>
    <t>FP/ATVD-020/05</t>
  </si>
  <si>
    <t>FP/ATVD-021/05</t>
  </si>
  <si>
    <t>FP/ATVD-022/05</t>
  </si>
  <si>
    <t>FP/ATVD-023/05</t>
  </si>
  <si>
    <t>FP/ATVD-024/05</t>
  </si>
  <si>
    <t>FP/ATVD-025/05</t>
  </si>
  <si>
    <t>FP/ATV/028/05</t>
  </si>
  <si>
    <t>FP/ATV/027/05</t>
  </si>
  <si>
    <t>FP/ATV/026/05</t>
  </si>
  <si>
    <t>FP/ATVD-300/05</t>
  </si>
  <si>
    <t>FP/ATVD-035/05</t>
  </si>
  <si>
    <t>FP/ATVD-036/05</t>
  </si>
  <si>
    <t>FP/ATVD-037/05</t>
  </si>
  <si>
    <t>FP/ATVD-038/05</t>
  </si>
  <si>
    <t>FP/ATVD-047/05</t>
  </si>
  <si>
    <t>FP/ATVD-048/05</t>
  </si>
  <si>
    <t>FP/ATVD-049/05</t>
  </si>
  <si>
    <t>FP/ATVD-052/05</t>
  </si>
  <si>
    <t>FP/ATVD-053/05</t>
  </si>
  <si>
    <t>FP/ATVD-057/05</t>
  </si>
  <si>
    <t>FP/ATVD-107/05</t>
  </si>
  <si>
    <t>FP/ATVD-111/05</t>
  </si>
  <si>
    <t>FP/ATVD-059/05</t>
  </si>
  <si>
    <t>FP/ATVD-051/05</t>
  </si>
  <si>
    <t>FP/ATVD-108/05</t>
  </si>
  <si>
    <t>FP/ATVD-039/05</t>
  </si>
  <si>
    <t>FP/ATVD-040/05</t>
  </si>
  <si>
    <t>FP/ATVD-041/05</t>
  </si>
  <si>
    <t>FP/ATVD-042/05</t>
  </si>
  <si>
    <t>FP/ATVD-044/05</t>
  </si>
  <si>
    <t>FP/ATVD-045/05</t>
  </si>
  <si>
    <t>FP/ATVD-046/05</t>
  </si>
  <si>
    <t>FP/ATVD-055/05</t>
  </si>
  <si>
    <t>FP/ATVD-056/05</t>
  </si>
  <si>
    <t>FP/ATVD-058/05</t>
  </si>
  <si>
    <t>FP/ATVD-060/05</t>
  </si>
  <si>
    <t>FP/ATVD-061/05</t>
  </si>
  <si>
    <t>FP/ATVD-062/05</t>
  </si>
  <si>
    <t>FP/ATVD-063/05</t>
  </si>
  <si>
    <t>FP/ATVD-064/05</t>
  </si>
  <si>
    <t>FP/ATVD-065/05</t>
  </si>
  <si>
    <t>FP/ATVD-066/05</t>
  </si>
  <si>
    <t>FP/ATVD-067/05</t>
  </si>
  <si>
    <t>FP/ATVD-301/05</t>
  </si>
  <si>
    <t>FP/ATVD-069/05</t>
  </si>
  <si>
    <t>FP/ATVD-070/05</t>
  </si>
  <si>
    <t>FP/ATVD-071/05</t>
  </si>
  <si>
    <t>FP/ATVD-072/05</t>
  </si>
  <si>
    <t>FP/ATVD-073/05</t>
  </si>
  <si>
    <t>FP/ATVD-074/05</t>
  </si>
  <si>
    <t>FP/ATVD-075/05</t>
  </si>
  <si>
    <t>FP/ATVD-076/05</t>
  </si>
  <si>
    <t>FP/ATVD-077/05</t>
  </si>
  <si>
    <t>FP/ATVD-078/05</t>
  </si>
  <si>
    <t>FP/ATVD-079/05</t>
  </si>
  <si>
    <t>FP/ATVD-080/05</t>
  </si>
  <si>
    <t>FP/ATVD-081/05</t>
  </si>
  <si>
    <t>FP/ATVD-082/05</t>
  </si>
  <si>
    <t>FP/ATVD-083/05</t>
  </si>
  <si>
    <t>FP/ATVD-084/05</t>
  </si>
  <si>
    <t>FP/ATVD-085/05</t>
  </si>
  <si>
    <t>FP/ATVD-086/05</t>
  </si>
  <si>
    <t>FP/ATVD-087/05</t>
  </si>
  <si>
    <t>FP/ATVD-088/05</t>
  </si>
  <si>
    <t>FP/ATVD-089/05</t>
  </si>
  <si>
    <t>FP/ATVD-090/05</t>
  </si>
  <si>
    <t>FP/ATVD-091/05</t>
  </si>
  <si>
    <t>FP/ATVD-092/05</t>
  </si>
  <si>
    <t>FP/ATVD-093/05</t>
  </si>
  <si>
    <t>FP/ATVD-094/05</t>
  </si>
  <si>
    <t>FPVDYAIPET096/05</t>
  </si>
  <si>
    <t>FPVDYAIPET026/05</t>
  </si>
  <si>
    <t>FP/ATVD-097/05</t>
  </si>
  <si>
    <t>FP/ATVD-098/05</t>
  </si>
  <si>
    <t>FP/ATVD-099/05</t>
  </si>
  <si>
    <t>FP/ATVD-100/05</t>
  </si>
  <si>
    <t>FP/ATVD-244/05</t>
  </si>
  <si>
    <t>FP/ATVD-245/05</t>
  </si>
  <si>
    <t>FP/ATVD-113/05</t>
  </si>
  <si>
    <t>FP/ATVD-114/05</t>
  </si>
  <si>
    <t>FP/ATVD-116/05</t>
  </si>
  <si>
    <t>FP/ATVD-115/05</t>
  </si>
  <si>
    <t>FP/ATVD-116A/05A</t>
  </si>
  <si>
    <t>FP/ATVD-121/05</t>
  </si>
  <si>
    <t>FP/ATVD-101/05</t>
  </si>
  <si>
    <t>FP/ATVD-102/05</t>
  </si>
  <si>
    <t>FP/ATVD-103/05</t>
  </si>
  <si>
    <t>FP/ATVD-104/05</t>
  </si>
  <si>
    <t>FP/ATVD-105/05</t>
  </si>
  <si>
    <t>FP/ATVD-106/05</t>
  </si>
  <si>
    <t>FP/ATVD-109/05</t>
  </si>
  <si>
    <t>FP/ATVD-043/05</t>
  </si>
  <si>
    <t>FP/ATVD-054/05</t>
  </si>
  <si>
    <t>FP/ATVD-110/05</t>
  </si>
  <si>
    <t>FP/ATVD-046A/05</t>
  </si>
  <si>
    <t>FP/ATVD-112/05</t>
  </si>
  <si>
    <t>FP/ATVD-117/05</t>
  </si>
  <si>
    <t>FP/ATVD-119/05</t>
  </si>
  <si>
    <t>FP/ATVD-118/05</t>
  </si>
  <si>
    <t>FP/ATVD-224/05</t>
  </si>
  <si>
    <t>FP/ATVD-232/05</t>
  </si>
  <si>
    <t>FP/ATVD-230/05</t>
  </si>
  <si>
    <t>FP/ATVD-227/05</t>
  </si>
  <si>
    <t>FP/ATVD-228/05</t>
  </si>
  <si>
    <t>FP/ATVD-231/05</t>
  </si>
  <si>
    <t>FP/ATVD-233/05</t>
  </si>
  <si>
    <t>FP/ATVD-229/05</t>
  </si>
  <si>
    <t>FP/ATVD226/05</t>
  </si>
  <si>
    <t>FP/ATVD-225/05</t>
  </si>
  <si>
    <t>FP/ATVD-234/05</t>
  </si>
  <si>
    <t>FP/ATVD-235/05</t>
  </si>
  <si>
    <t>FP/ATVD-236/05</t>
  </si>
  <si>
    <t>FPVDAIPET 050</t>
  </si>
  <si>
    <t>FPVDAIPET 051</t>
  </si>
  <si>
    <t>FPVDAIPET 052</t>
  </si>
  <si>
    <t>FPVDAIPET 053</t>
  </si>
  <si>
    <t>FPVDAIPET 054</t>
  </si>
  <si>
    <t>FPVDAIPET 055</t>
  </si>
  <si>
    <t>FPVDAIPET 056</t>
  </si>
  <si>
    <t>FPVDAIPET 057</t>
  </si>
  <si>
    <t>FPVDAIPET 058</t>
  </si>
  <si>
    <t>FPVDAIPET 059</t>
  </si>
  <si>
    <t>FPVDAIPET 060</t>
  </si>
  <si>
    <t>FPVDAIPET 061</t>
  </si>
  <si>
    <t>FPVDAIPET 062</t>
  </si>
  <si>
    <t>FPVDYDAIPET 037</t>
  </si>
  <si>
    <t>FPVDAIPET 001/11</t>
  </si>
  <si>
    <t>FPVDAIPET 002/11</t>
  </si>
  <si>
    <t>FPVDAIPET 003/11</t>
  </si>
  <si>
    <t>FPVDAIPET 004/11</t>
  </si>
  <si>
    <t>FPVDAIPET 005/11</t>
  </si>
  <si>
    <t>FPVDAIPET 006/11</t>
  </si>
  <si>
    <t>FPVDAIPET 007/11</t>
  </si>
  <si>
    <t>FPVDAIPET 008/11</t>
  </si>
  <si>
    <t>FPVDAIPET 009/11</t>
  </si>
  <si>
    <t>FPVDAIPET 010/11</t>
  </si>
  <si>
    <t>FPVDAIPET 011/11</t>
  </si>
  <si>
    <t>FPVDAIPET 012/11</t>
  </si>
  <si>
    <t>FPVDAIPET 013/11</t>
  </si>
  <si>
    <t>FPVDAIPET 014/11</t>
  </si>
  <si>
    <t>FPVDAIPET 015/11</t>
  </si>
  <si>
    <t>FPVDAIPET 016/11</t>
  </si>
  <si>
    <t>FPVDAIPET 049</t>
  </si>
  <si>
    <t>FPVDAIPET 048</t>
  </si>
  <si>
    <t>FPVDAIPET 079</t>
  </si>
  <si>
    <t>FPVDAIPET 063</t>
  </si>
  <si>
    <t>FPVDAIPET 008/12</t>
  </si>
  <si>
    <t>FPVDAIPET 01/13</t>
  </si>
  <si>
    <t>FPVDAIPET 02/13</t>
  </si>
  <si>
    <t>FPVDAIPET 03/13</t>
  </si>
  <si>
    <t>FPVDAIPET 04/13</t>
  </si>
  <si>
    <t>FPVDAIPET 05/13</t>
  </si>
  <si>
    <t>FPVDAIPET 06/13</t>
  </si>
  <si>
    <t>FPVDAIPET 1/2004</t>
  </si>
  <si>
    <t>FP/ATVD4/05/05-1</t>
  </si>
  <si>
    <t>FP/ATVD-4/05/05-2</t>
  </si>
  <si>
    <t>FPVDYAIPET029</t>
  </si>
  <si>
    <t>FP/ATVD-163-05</t>
  </si>
  <si>
    <t>FP/ATVD-04/05/05-6</t>
  </si>
  <si>
    <t>FP/ATVD-164/05</t>
  </si>
  <si>
    <t>FP/ATVD-4/05/05-3</t>
  </si>
  <si>
    <t>FP/ATVD-4/05/05-3A</t>
  </si>
  <si>
    <t>FP/ATVD-4/05/05-3B</t>
  </si>
  <si>
    <t>FP/ATVD-4/05/05-3C</t>
  </si>
  <si>
    <t>FP/ATVD-246/05</t>
  </si>
  <si>
    <t>FP/ATVD-302/05</t>
  </si>
  <si>
    <t>FPVDAIPET047</t>
  </si>
  <si>
    <t>FPVDAIPET039</t>
  </si>
  <si>
    <t>FPVDAIPET044</t>
  </si>
  <si>
    <t>FPVDAIPET043</t>
  </si>
  <si>
    <t>FPVDAIPET045</t>
  </si>
  <si>
    <t>FPVDAIPET042</t>
  </si>
  <si>
    <t>FPVDAIPET037</t>
  </si>
  <si>
    <t>FPVDAIPET041</t>
  </si>
  <si>
    <t>FPVDAIPET040</t>
  </si>
  <si>
    <t>FPVDAIPET046</t>
  </si>
  <si>
    <t>FPVDAIPET036</t>
  </si>
  <si>
    <t>FPVDAIPET 064</t>
  </si>
  <si>
    <t>FPVDAIPET 065</t>
  </si>
  <si>
    <t>FPVDAIPET 066</t>
  </si>
  <si>
    <t>FPVDAIPET 067</t>
  </si>
  <si>
    <t>FPVDAIPET 068</t>
  </si>
  <si>
    <t>FPVDAIPET 069</t>
  </si>
  <si>
    <t>FPVDAIPET 070</t>
  </si>
  <si>
    <t>FPVDAIPET 071</t>
  </si>
  <si>
    <t>FPVDAIPET 072</t>
  </si>
  <si>
    <t>FPVDAIPET 073</t>
  </si>
  <si>
    <t>FPVDAIPET 074</t>
  </si>
  <si>
    <t>FPVDAIPET 075</t>
  </si>
  <si>
    <t>FPVDAIPET 076</t>
  </si>
  <si>
    <t>FPVDAIPET 077</t>
  </si>
  <si>
    <t>FPVDAIPET 078</t>
  </si>
  <si>
    <t>FPVDAIPET080</t>
  </si>
  <si>
    <t>FPVDAIPET080 A</t>
  </si>
  <si>
    <t>FPVDAIPET080 B</t>
  </si>
  <si>
    <t>FPVDAIPET 017/11</t>
  </si>
  <si>
    <t>FPVDAIPET 018/11</t>
  </si>
  <si>
    <t>FPVDAIPET 019/11</t>
  </si>
  <si>
    <t>FPVDAIPET 020/11</t>
  </si>
  <si>
    <t>FPVDAIPET 021/11</t>
  </si>
  <si>
    <t>FPVDAIPET 01/12</t>
  </si>
  <si>
    <t>FPVDAIPET 02/12</t>
  </si>
  <si>
    <t>FPVDAIPET 04/12</t>
  </si>
  <si>
    <t>FPVDAIPET 05/12</t>
  </si>
  <si>
    <t>FPVDAIPET 01/14</t>
  </si>
  <si>
    <t>FPVDAIPET 02/14</t>
  </si>
  <si>
    <t>GET-F-003</t>
  </si>
  <si>
    <t>GET-F-004</t>
  </si>
  <si>
    <t>GET-F-002</t>
  </si>
  <si>
    <t>FPVDYAIPET003</t>
  </si>
  <si>
    <t>GET-F-005</t>
  </si>
  <si>
    <t>GET-F-006</t>
  </si>
  <si>
    <t>GET-F-007</t>
  </si>
  <si>
    <t>FP/ATVD-286/05</t>
  </si>
  <si>
    <t>FP/ATVD-283/05</t>
  </si>
  <si>
    <t>FPVDYAIPET-285/05</t>
  </si>
  <si>
    <t>FPVDYAIPET-282/05</t>
  </si>
  <si>
    <t>FP/ATVD/204/05</t>
  </si>
  <si>
    <t>FP/ATVD-211/05 Y FP/ATVD-212/05</t>
  </si>
  <si>
    <t>FP/ATVD-202/05</t>
  </si>
  <si>
    <t>FP/ATVD-213/05</t>
  </si>
  <si>
    <t>FP/ATVD-214/05</t>
  </si>
  <si>
    <t>FP/ATVD-203/05</t>
  </si>
  <si>
    <t>SIN</t>
  </si>
  <si>
    <t>FP/ATVD-216/05</t>
  </si>
  <si>
    <t>FP/ATVD-216A/04</t>
  </si>
  <si>
    <t xml:space="preserve">FP/ATVD-217/05 </t>
  </si>
  <si>
    <t>FP/ATVD-210/05</t>
  </si>
  <si>
    <t>FP/ATVD-208/05</t>
  </si>
  <si>
    <t>FP/ATVD-209/05</t>
  </si>
  <si>
    <t>FP/ATVD-205/05</t>
  </si>
  <si>
    <t>FP/ATVD-206/05</t>
  </si>
  <si>
    <t>FP/ATVD-207/05</t>
  </si>
  <si>
    <t>FP/ATVD-124/05</t>
  </si>
  <si>
    <t>FP/ATVD-125/05</t>
  </si>
  <si>
    <t>FP/ATVD-126/05</t>
  </si>
  <si>
    <t>FP/ATVD-127/05</t>
  </si>
  <si>
    <t>FP/ATVD-128/05</t>
  </si>
  <si>
    <t>FP/ATVD-129/05</t>
  </si>
  <si>
    <t>FP/ATVD-130/05</t>
  </si>
  <si>
    <t>FP/ATVD-123/05</t>
  </si>
  <si>
    <t>FP/ATVD-122/05</t>
  </si>
  <si>
    <t>FP/ATVD-156/05</t>
  </si>
  <si>
    <t>FP/ATVD-157/05</t>
  </si>
  <si>
    <t>FP/ATVD-159/05</t>
  </si>
  <si>
    <t>FP/ATVD-158/05</t>
  </si>
  <si>
    <t>FP/ATVD/131/05</t>
  </si>
  <si>
    <t>FP/ATVD-132/05</t>
  </si>
  <si>
    <t>FP/ATVD-133/05</t>
  </si>
  <si>
    <t>FP/ATVD-134/05</t>
  </si>
  <si>
    <t>FP/ATVD-135/05</t>
  </si>
  <si>
    <t>FP/ATVD-136/05</t>
  </si>
  <si>
    <t>FP/ATVD-137/05</t>
  </si>
  <si>
    <t>FP/ATVD-138/05</t>
  </si>
  <si>
    <t>FP/ATVD-139/05</t>
  </si>
  <si>
    <t>FP/ATVD-140/05</t>
  </si>
  <si>
    <t>FP/ATVD-141/05</t>
  </si>
  <si>
    <t>FP/ATVD-142/05</t>
  </si>
  <si>
    <t>FP/ATVD/143/05</t>
  </si>
  <si>
    <t>FP/ATVD/144/05</t>
  </si>
  <si>
    <t>FP/ATVD/145/05</t>
  </si>
  <si>
    <t>FP/ATVD/146/05</t>
  </si>
  <si>
    <t>FP/ATVD/147/05</t>
  </si>
  <si>
    <t>FP/ATVD/148/05</t>
  </si>
  <si>
    <t>FP/ATVD-149/05</t>
  </si>
  <si>
    <t>FP/ATVD-150/05</t>
  </si>
  <si>
    <t>FP/ATVD/151/05</t>
  </si>
  <si>
    <t>FP/ATVD/152/05</t>
  </si>
  <si>
    <t>FP/ATVD/153/05</t>
  </si>
  <si>
    <t>FP/ATVD/154/05</t>
  </si>
  <si>
    <t>FP/ATVD/155/05</t>
  </si>
  <si>
    <t>FP/ATV-238/05</t>
  </si>
  <si>
    <t>FP/ATV-239/05</t>
  </si>
  <si>
    <t>FP/ATV-240/05</t>
  </si>
  <si>
    <t>FP/ATV-241/05</t>
  </si>
  <si>
    <t>FP/ATV-242/05</t>
  </si>
  <si>
    <t>FP/ATV-243/05</t>
  </si>
  <si>
    <t>FP/ATVD-172/05</t>
  </si>
  <si>
    <t>FP/ATVD-173/05</t>
  </si>
  <si>
    <t>FP/ATVD-167/05</t>
  </si>
  <si>
    <t>FP/ATVD-168/05</t>
  </si>
  <si>
    <t>FP/ATVD-186/05</t>
  </si>
  <si>
    <t>FP/ATVD/187/05</t>
  </si>
  <si>
    <t>FP/ATVD-188/05</t>
  </si>
  <si>
    <t>FP/ATVD-189/05</t>
  </si>
  <si>
    <t>FP/ATVD-182/05</t>
  </si>
  <si>
    <t>FP/ATVD-183/05</t>
  </si>
  <si>
    <t>FP/ATVD-184/05</t>
  </si>
  <si>
    <t>FP/ATVD-185/05</t>
  </si>
  <si>
    <t>FP/ATVD-190/05</t>
  </si>
  <si>
    <t>FP/ATVD/191/05</t>
  </si>
  <si>
    <t>FP/ATVD/192/05</t>
  </si>
  <si>
    <t>FP/ATVD/193/05</t>
  </si>
  <si>
    <t>FP/ATVD/194/05</t>
  </si>
  <si>
    <t>FP/ATVD/195/05</t>
  </si>
  <si>
    <t>FP/ATVD/196/05</t>
  </si>
  <si>
    <t>FP/ATVD/197/05</t>
  </si>
  <si>
    <t>FP/ATVD/198/05</t>
  </si>
  <si>
    <t>FP/ATVD/199/05</t>
  </si>
  <si>
    <t>FP/ATVD/200/05</t>
  </si>
  <si>
    <t>FP/ATVD/201/05</t>
  </si>
  <si>
    <t>FP/ATVD-169/05</t>
  </si>
  <si>
    <t>FP/ATVD-170/05</t>
  </si>
  <si>
    <t>FP/ATVD-219/05</t>
  </si>
  <si>
    <t>FP/ATVD-220/05</t>
  </si>
  <si>
    <t>FP/ATVD-221/05</t>
  </si>
  <si>
    <t>FP/ATVD/204/05-A</t>
  </si>
  <si>
    <t>FPVDAIPET 022/11</t>
  </si>
  <si>
    <t>FPVDAIPET 023/11</t>
  </si>
  <si>
    <t>FPVDAIPET 024/11</t>
  </si>
  <si>
    <t>FPVDAIPET 06/12</t>
  </si>
  <si>
    <t>FPVDAIPET 07/12</t>
  </si>
  <si>
    <t>FP/ATVD-160/05</t>
  </si>
  <si>
    <t>FP/ATVD-161/05</t>
  </si>
  <si>
    <t>FP/ATVD-162/05</t>
  </si>
  <si>
    <t>FP/ATVD-174/05</t>
  </si>
  <si>
    <t>FP/ATVD/225/05</t>
  </si>
  <si>
    <t>FP/ATVD-175/04</t>
  </si>
  <si>
    <t>FP/ATVD-177/05</t>
  </si>
  <si>
    <t>FP/ATVD-179/04</t>
  </si>
  <si>
    <t>FP/ATVD-180/04</t>
  </si>
  <si>
    <t>FP/ATVD-04/05/05-7</t>
  </si>
  <si>
    <t>FP/ATVD-176/04</t>
  </si>
  <si>
    <t>FP/ATVD-178/04</t>
  </si>
  <si>
    <t>SOFA DE TRES PLAZAS</t>
  </si>
  <si>
    <t>SOFA DE DOS PLAZAS</t>
  </si>
  <si>
    <t>SOFA DE UNA PLAZA</t>
  </si>
  <si>
    <t>LIBRERO DE PISO ABIERTO DE CUATRO ENTREPAÑOS DE 90 X 30 X 1.90</t>
  </si>
  <si>
    <t>UN LIBRERO DE PISO ABIERTO DE CUATRO ENTREPAÑOS DE 90 X 30 X 1.90</t>
  </si>
  <si>
    <t>SILLA SECRETARIAL</t>
  </si>
  <si>
    <t>MESA AUXILIAR</t>
  </si>
  <si>
    <t xml:space="preserve">UNA MESA DE JUNTAS OVAL PARA OCHO PERSONAS </t>
  </si>
  <si>
    <t>SILLA DE VISITA</t>
  </si>
  <si>
    <t xml:space="preserve">UNA MESA MULTIUSOS 1.20X70X75 </t>
  </si>
  <si>
    <t>MESA DE CENTRO 80X70X45</t>
  </si>
  <si>
    <t>MESA PARA TELEVISION Y VIDEO 80X70X75</t>
  </si>
  <si>
    <t>MESA PARA JUNTAS RECTANGULAR 1.20X70X75</t>
  </si>
  <si>
    <t>LOCKER 3 PUERTAS 1,80 M</t>
  </si>
  <si>
    <t>SILLA APILABLE</t>
  </si>
  <si>
    <t>ESCRITORIO RECTANGULAR 1.20*70*75</t>
  </si>
  <si>
    <t xml:space="preserve">SILLON EJECUTIVO </t>
  </si>
  <si>
    <t>ARCHIVERO VERTICAL</t>
  </si>
  <si>
    <t xml:space="preserve">SILLA P/ CAJERO </t>
  </si>
  <si>
    <t>CONJUNTO EJECUTIVO CONSTA DE: ESCRITORIO PENINSULAR DE 1.70*.70*75M, PUENTE DE .90*.50M CON CREDENZA ABIERTA DE 1.60*.50*.75M Y CAJONERA FIJA CON GAVETA CON CERRADURA</t>
  </si>
  <si>
    <t>SILLA ISSO TAPIZADA EN TELA</t>
  </si>
  <si>
    <t>UN MODULO DE RECEPCIÓN DE 1.70 X 1.10 M LATERAL DE 1.20 X 0.50 M CON UNA CAJONERA FIJA DE UNA GAVETA PAPELERA Y UNA DE ARCHIVO.</t>
  </si>
  <si>
    <t>ARCHIVERO METALICO</t>
  </si>
  <si>
    <t xml:space="preserve">ENFRIADOR CALENTADOR DE AGUA </t>
  </si>
  <si>
    <t>CESTO PARA BASURA</t>
  </si>
  <si>
    <t>18 CESTOS</t>
  </si>
  <si>
    <t>MESA OVALADA 2.40 CHERRY</t>
  </si>
  <si>
    <t>ESCRITORIO</t>
  </si>
  <si>
    <t>SILLA PRESIDENCIAL</t>
  </si>
  <si>
    <t>SILLA EJECUTIVA</t>
  </si>
  <si>
    <t>MICROGRABADORA</t>
  </si>
  <si>
    <t>ARCHIVERO 4 CAJONES CHOCOLATE</t>
  </si>
  <si>
    <t>SILLA EJECUTIVA PIEL CAFÉ</t>
  </si>
  <si>
    <t>ESCRITORIO EJECUTIVO O PORT</t>
  </si>
  <si>
    <t>ARCHIVERO LATERAL FORTE</t>
  </si>
  <si>
    <t>SILLA DE VISITA PIEL CAFÉ</t>
  </si>
  <si>
    <t>TELEFONO RCA 2 LINEAS ALAMBR.</t>
  </si>
  <si>
    <t>TELEFONO RCA MULTI-AURICULAR</t>
  </si>
  <si>
    <t>CAFETERA DIGITAL PROGRAMABLE</t>
  </si>
  <si>
    <t>CESTO P/ BASURA GRANDE CAFÉ</t>
  </si>
  <si>
    <t>SET DE ESCRITORIO 4 PZAS</t>
  </si>
  <si>
    <t>PROTECTOR ALFOMBRA</t>
  </si>
  <si>
    <t xml:space="preserve">ASPIRADORA </t>
  </si>
  <si>
    <t>SALA BALI</t>
  </si>
  <si>
    <t>GRABADORA DIGITAL DE VOZ</t>
  </si>
  <si>
    <t>CAMARA FOTOGRAFICA DIGITAL</t>
  </si>
  <si>
    <t>CONJUNTO EJECUTIVO ERGOS</t>
  </si>
  <si>
    <t>MESA DE JUNTAS PTA CURVA 105 X 240 CMS.</t>
  </si>
  <si>
    <t>ESTANTERIA</t>
  </si>
  <si>
    <t>AUTOMOVIL PARA CINCO PASAJEROS DE COLOR NARANJA METÁLICO, NÚMERO DE SERIE: 3G1SF21684S148622, NÚM. MOTOR: HECHO EN MÉXICO, CILINDRAJE: 4 CILINDROS, MARCA: CHEVROLET, CAPACIDAD: 40 LITROS, PLACAS: XUF8488.</t>
  </si>
  <si>
    <t>UN  DISCO  WINDOWS PROFESIONAL</t>
  </si>
  <si>
    <t>DOS DISCOS  OEM OFFICE BUS 2003</t>
  </si>
  <si>
    <t>COMPUTADORA ENSAMBLADA INTEGRADA POR PROCESADOR INTEL PENTIUM IV A 2.4 GHZ, BUS DE 512 MB DE CACHE, BUS DE 800 MHZ, NO. DE PARTE BX80532PG2400D. MOTHERBOARD INTEL D865GVHZ MATX A/V/R 400/533/800 MHZ, No. DE PARTE BOXD865GVHZL. MEMORIA DDR DE 256 MB 333 MHZ PC2700, No. PARTE KVR333X64C25/256, UNIDAD DE CD ROM 52X MCA LG, No. PARTE GCR-8523B, UNIDAD DE FLOPPY 3.5" SAMSUNG No.PARTE: SFD-321B, FAX MODEM 56KBPS MCA SMC, No. PARTE:SMCFM1001, TECLADO ESTANDAR MCA ACTEK, MOUSE MCA ACTEK OPTICO, MONITOR COLOR DE 17", BOCINAS MCA ACTEK.</t>
  </si>
  <si>
    <t>MULTIFUNCIONAL  (COPIADORA)</t>
  </si>
  <si>
    <t>NO BREAK CON REGULADOR INTEGRADO DE 480 VA</t>
  </si>
  <si>
    <t>IMPRESORA HP LASER JET 1015</t>
  </si>
  <si>
    <t>OFFICE CONECT ADSL WIRELESS 11G FIREWALL ROUTER</t>
  </si>
  <si>
    <t>TARJETA DE RED INALAMBRICA</t>
  </si>
  <si>
    <t>UN COI 4.01 USUARIO 4 EMPRESAS WIN CD</t>
  </si>
  <si>
    <t>UN CD REWRITER LG 52X32X52X</t>
  </si>
  <si>
    <t>MOUSE</t>
  </si>
  <si>
    <t>TECLADO</t>
  </si>
  <si>
    <t>MONITOR</t>
  </si>
  <si>
    <t>CPU</t>
  </si>
  <si>
    <t>ACCESORIO</t>
  </si>
  <si>
    <t>IMPRESORA</t>
  </si>
  <si>
    <t xml:space="preserve">MOUSE </t>
  </si>
  <si>
    <t>UNIDAD DE ALMACENAMIENTO</t>
  </si>
  <si>
    <t>CAMARA WEB</t>
  </si>
  <si>
    <t>CONTROL REMOTO</t>
  </si>
  <si>
    <t>COMPUTADORA SONY VAIO SZ691, PROC. CORE 2 DUO A 2GB RAM, DD D E 160 GB, DVD-RW, PANTALLA DE 13.3", XINDOWSVISTA. N/S: 5B2A2293</t>
  </si>
  <si>
    <t>CABLE USB A-B MANHATTAN 317856 1,8 MTRS.</t>
  </si>
  <si>
    <t>HP OFFICE JET PRO 8500 A PLUS</t>
  </si>
  <si>
    <t>MOUSE MINI OPTICO ALAMB.</t>
  </si>
  <si>
    <t>MOUSE OPTICO PORTATIL</t>
  </si>
  <si>
    <t>COMPUTADORA  ENSAMBLADA</t>
  </si>
  <si>
    <t>IMPRESORA MULTIFUNCIONAL</t>
  </si>
  <si>
    <t>EQUIPO DE COMPUTO</t>
  </si>
  <si>
    <t>MULTIFUNCIONAL LASER</t>
  </si>
  <si>
    <t>ARCHIVERO METÁLICO</t>
  </si>
  <si>
    <t>SILLÓN EJECUTIVO</t>
  </si>
  <si>
    <t>ESCRITORIO 0,120 X 0,75 SPAZIO</t>
  </si>
  <si>
    <t xml:space="preserve">TELEVISOR </t>
  </si>
  <si>
    <t>RADIO GRABADORA</t>
  </si>
  <si>
    <t>VIDEO CASETERA</t>
  </si>
  <si>
    <t xml:space="preserve">ESPEJO </t>
  </si>
  <si>
    <t>TEATRIN 2 PUERTAS DE 0,70 X 1,60 Y 1 ENTREPAÑO DE 1,20 X ,30</t>
  </si>
  <si>
    <t>MUEBLE DE MADERA 40 * 40 * 80</t>
  </si>
  <si>
    <t>MUEBLE DE MADERA 40 * 60 * 75</t>
  </si>
  <si>
    <t>HORNO DAEWOO MOD. KDR-161</t>
  </si>
  <si>
    <t>LICUADORA AD7217 14 VEL VASO PLAS</t>
  </si>
  <si>
    <t>REFRIGERADOR MABE MODELO AM77W04B</t>
  </si>
  <si>
    <t>TOSTADOR TOAS LOGIC 4 REBANADAS</t>
  </si>
  <si>
    <t>CAMPANA MARCA MABE MODELO CM-8091</t>
  </si>
  <si>
    <t xml:space="preserve">TAZA ESTIBABLE 219 ML. </t>
  </si>
  <si>
    <t>CUCHILLO USO GEN #53-07</t>
  </si>
  <si>
    <t>SARTEN PLATA /AZUL CAPRI 26 CM.</t>
  </si>
  <si>
    <t>SARTEN PLATA /AZUL CAPRI 24 CM.</t>
  </si>
  <si>
    <t>SARTEN PLATA /AZUL CAPRI 20 CM.</t>
  </si>
  <si>
    <t>BUDINERA #40 C/TAPA 16 LTS T. FUERTE</t>
  </si>
  <si>
    <t>OLLA CONVEKA C/ASAS No. 26</t>
  </si>
  <si>
    <t>OLLA ALTA #50 C/TAPA 56LTS</t>
  </si>
  <si>
    <t>BUDINERA #26 C/TAPA 5.3LTS T. FUERTE</t>
  </si>
  <si>
    <t>CUBETA 15 LTS INDUSTRIAL TUCKE T-15</t>
  </si>
  <si>
    <t>VASO #6660 AGUA 9.8 OZ</t>
  </si>
  <si>
    <t>SALERO BOLA NEC TAPA METAL</t>
  </si>
  <si>
    <t>JARRAS #3800 MÉXICO 60 OZ</t>
  </si>
  <si>
    <t>FORMACIÓN NADIA</t>
  </si>
  <si>
    <t>PLATO SOPERO 414 ML. BFB-7.5</t>
  </si>
  <si>
    <t>PLATO TRINCHE 23 CM.</t>
  </si>
  <si>
    <t>PLATOS PARA TAZA</t>
  </si>
  <si>
    <t xml:space="preserve">EXTRACTOR </t>
  </si>
  <si>
    <t>ABRELATAS DESTAPADOR</t>
  </si>
  <si>
    <t>ABRELATAS ELECTRICO</t>
  </si>
  <si>
    <t>EXPRIMIDOR PALANCA TORONJERO-JR</t>
  </si>
  <si>
    <t>OLLA EXPRESS DE 6LT.</t>
  </si>
  <si>
    <t>CONTENEDORES DE 79LTS MILLER</t>
  </si>
  <si>
    <t>VAPORERA #45</t>
  </si>
  <si>
    <t xml:space="preserve">BATIDORA </t>
  </si>
  <si>
    <t>A-VAPORERA #34</t>
  </si>
  <si>
    <t>CUBETA #10</t>
  </si>
  <si>
    <t>JUEGOS DE GANCHOS KARTELL</t>
  </si>
  <si>
    <t xml:space="preserve">PLATO CEREAL </t>
  </si>
  <si>
    <t>FRUTERO REDONDO C/CORDON UVAS</t>
  </si>
  <si>
    <t>TAZÓN FRUTA 133 ML.</t>
  </si>
  <si>
    <t>ENSALADERA REDONDA</t>
  </si>
  <si>
    <t>COLADERA MALLA 25 CMS</t>
  </si>
  <si>
    <t>COLADERA MALLA DOBLE DE 20 CM</t>
  </si>
  <si>
    <t>COLADERA MALLA DOBLE DE 15CM</t>
  </si>
  <si>
    <t>COLADERAS MALLA DOBLE DE 12 CM</t>
  </si>
  <si>
    <t xml:space="preserve">CUCHARAS DE SERVICIO </t>
  </si>
  <si>
    <t xml:space="preserve">VOLTEADOR CHEF </t>
  </si>
  <si>
    <t>CUCHARON 09 OZ 270 ML. 10 CMS</t>
  </si>
  <si>
    <t>CUCHARON 12 OZ 360 ML. 12 CMS</t>
  </si>
  <si>
    <t>MACHACADOR CROMADO #179-E</t>
  </si>
  <si>
    <t>TABLAS PARA PICAR 20X30</t>
  </si>
  <si>
    <t>PINZAS MEDIANAS PARA PAN GALVANIZADAS</t>
  </si>
  <si>
    <t>CUCHARAS CAFÉ FLORESTA</t>
  </si>
  <si>
    <t>TENEDOR ZET LETICIA</t>
  </si>
  <si>
    <t>CUCHARAS SOPA FLORESTA</t>
  </si>
  <si>
    <t>CUCHILLO MESA FLORESTA</t>
  </si>
  <si>
    <t>CESTAS CALADA RED</t>
  </si>
  <si>
    <t>PALANGANAS</t>
  </si>
  <si>
    <t>CONTENEDOR DE 145 LTS</t>
  </si>
  <si>
    <t>TORTILLEROS TERMICOS FAMILIAR</t>
  </si>
  <si>
    <t>BARRILES 10 LTS. #606  (CRISTAL)</t>
  </si>
  <si>
    <t>SERVILLETEROS FLOR/ABANICO</t>
  </si>
  <si>
    <t>PANERA PASTELERA</t>
  </si>
  <si>
    <t>ESCURRIDOR DE PLATOS C/CHAR F-EPCH</t>
  </si>
  <si>
    <t>JUEGO DE HIELERAS CUBIHIELO H160</t>
  </si>
  <si>
    <t xml:space="preserve">ESTANTERIA METALICA </t>
  </si>
  <si>
    <t>ESTANTERIA METALICA</t>
  </si>
  <si>
    <t>PORTA GARRAFON</t>
  </si>
  <si>
    <t>PLANCHA</t>
  </si>
  <si>
    <t>LAVADORA</t>
  </si>
  <si>
    <t>COMBO DVD Y VHS MARCA SONY</t>
  </si>
  <si>
    <t>TELEVISION FD TRINITON WEGA 29"</t>
  </si>
  <si>
    <t>MESACOMEDOR 3.00*1.00M</t>
  </si>
  <si>
    <t>MESACOMEDOR 3.00M*1.00M</t>
  </si>
  <si>
    <t xml:space="preserve">MESA COMEDOR .80M*.80M  </t>
  </si>
  <si>
    <t>MESA COMEDOR 0.80 M X 0.80 M, CUBIERTA DE FORMAICA</t>
  </si>
  <si>
    <t>CAMA  DE ARCO C/COLCHON ORTOPEDICO</t>
  </si>
  <si>
    <t>CUNA CAMA .70*1.40 M</t>
  </si>
  <si>
    <t xml:space="preserve"> COLCHON INFANTIL .70*1.40 M</t>
  </si>
  <si>
    <t>BURRO PARA PLANCHAR</t>
  </si>
  <si>
    <t>PARILLA METÁLICA DE CUATRO PATAS CON CUATRO HORNILLAS DE GAS.</t>
  </si>
  <si>
    <t>COCINA INTEGRAL  LINEAL DE 4.75 MTS ELABORADA CON MDF DE 15 MM MELAMINICO BLANCO PARA MUEBLES CON MADERA DE PINO PARA PEINAZOS DE FIJACION Y ZOCLO, PUERTA Y CAJONES DE MDF DE 15 MM LACADO EN CUALQUIER COLOR BISAGRA BIDIMENSIONALES DE CIERRE AUTOMATICO.</t>
  </si>
  <si>
    <t xml:space="preserve">AZUCARERA TAPA DE ACERO INOXIDABLE </t>
  </si>
  <si>
    <t>SILLA DE PLÀSTICO</t>
  </si>
  <si>
    <t>SILLA DE PLASTICO</t>
  </si>
  <si>
    <t xml:space="preserve">SILLA DE PLÁSTICO </t>
  </si>
  <si>
    <t>JUEGO DE CUCHILLOS CHEFF REBANADOR DE ACERO INOXIDABLE CON MANGO DE PLASTICO RESISTENTE</t>
  </si>
  <si>
    <t>COLADERA DE 12 CM DE DIAMETRO DE MALLA SENCILLA REFORZADA</t>
  </si>
  <si>
    <t>MACHACADOR MANGO DE MADERA USO DOMESTICO CROMADO</t>
  </si>
  <si>
    <t>TRINCHE MANGO DE MADERA USO DOMESTICO CROMADO</t>
  </si>
  <si>
    <t>CUCHARA CALADA MANGO DE MADERA USO DOMESTICO CROMADO</t>
  </si>
  <si>
    <t>VOLTEADOR LISO LARGO MANGO DE PLASTICO</t>
  </si>
  <si>
    <t>RAYADOR GRANDE DE 4 LADOS DE 22P. CMS DE ACERO INOXIDABLE</t>
  </si>
  <si>
    <t>EXPRIMIDOR DE LIMONES DE ALUMINIO EXTRA REFORZADO</t>
  </si>
  <si>
    <t>JARRAS DE LUJO DE CRISTAL DE 2LTS. CUADRO LUMINAR</t>
  </si>
  <si>
    <t xml:space="preserve">CAFETERA </t>
  </si>
  <si>
    <t>ALTAR DE 1.50*.70*1.65 MTS</t>
  </si>
  <si>
    <t xml:space="preserve">RECLINATORIO </t>
  </si>
  <si>
    <t>HORNO DAEWOO CLAVE KOR-161</t>
  </si>
  <si>
    <t>LICUADORA</t>
  </si>
  <si>
    <t>REFRIGERADOR MARCA MABE RM77WD48</t>
  </si>
  <si>
    <t xml:space="preserve">TOSTADOR DE PAN </t>
  </si>
  <si>
    <t>CAMPANA MARCA MABE CM-8091</t>
  </si>
  <si>
    <t xml:space="preserve">COLADERA MALLA DOBLE 12 CMS. </t>
  </si>
  <si>
    <t>CUCHARA DE SERVICIO LISA</t>
  </si>
  <si>
    <t>VOLTEADOR CHEFF LISO</t>
  </si>
  <si>
    <t>CUCHARON 9.5 OZ</t>
  </si>
  <si>
    <t>CUCHARON 13 OZ</t>
  </si>
  <si>
    <t>CUCHARA CAFÉ FLORESTA</t>
  </si>
  <si>
    <t>TENEDOR</t>
  </si>
  <si>
    <t>CUCHARA PARA SOPA</t>
  </si>
  <si>
    <t>CUCHILLO MESA</t>
  </si>
  <si>
    <t>PALANGANA</t>
  </si>
  <si>
    <t>CONTENEDOR 145 LITROS CON TAPA</t>
  </si>
  <si>
    <t>TORTILLERO TERMICO FAMILIAR</t>
  </si>
  <si>
    <t>BARRIL 10 LITROS TAPA VIDRIO</t>
  </si>
  <si>
    <t xml:space="preserve">SERVILLETERO </t>
  </si>
  <si>
    <t xml:space="preserve">ESCURRIDOR PARA PLATOS </t>
  </si>
  <si>
    <t>ESTANTERIA METÁLICA CON 5 CHAROLAS</t>
  </si>
  <si>
    <t>PORTAGARRAFON</t>
  </si>
  <si>
    <t>TAZA ESTIBABLE</t>
  </si>
  <si>
    <t>SARTEN PLATINO 26 CMS.</t>
  </si>
  <si>
    <t>SARTEN PLATINO 24 CMS.</t>
  </si>
  <si>
    <t>SARTEN PLATINO 20 CMS.</t>
  </si>
  <si>
    <t>BUDINERA CON TAPA 16 LITROS</t>
  </si>
  <si>
    <t>OLLA CONVEXA C/ASAS</t>
  </si>
  <si>
    <t>OLLA ALTA CON TAPA 56 LITROS</t>
  </si>
  <si>
    <t>BUDINERA CON TAPA 5.3 LITROS</t>
  </si>
  <si>
    <t>CUBETA 15 LITROS</t>
  </si>
  <si>
    <t>VASO PARA AGUA</t>
  </si>
  <si>
    <t>SALERO BOLA TAPA METAL</t>
  </si>
  <si>
    <t>JARRA 60 OZ.</t>
  </si>
  <si>
    <t>PLATO SOPERO 414 ML.</t>
  </si>
  <si>
    <t>PLATO TRINCHE 23 CMS.</t>
  </si>
  <si>
    <t>PLATO PARA TAZA</t>
  </si>
  <si>
    <t>EXTRACTOR USO RUDO</t>
  </si>
  <si>
    <t>ABRELATAS CON DESTAPADOR</t>
  </si>
  <si>
    <t>EXPRIMIDOR PALANCA TORONJERO JR</t>
  </si>
  <si>
    <t>OLLA EXPRESS 6 LITROS</t>
  </si>
  <si>
    <t>CONTENEDOR 60 LITROS</t>
  </si>
  <si>
    <t>A-VAPORERA</t>
  </si>
  <si>
    <t>CUBETA</t>
  </si>
  <si>
    <t>JUEGO DE 10 GANCHOS</t>
  </si>
  <si>
    <t>PLATO DE CEREAL</t>
  </si>
  <si>
    <t>COLADERA MALLA DOBLE 20 CMS.</t>
  </si>
  <si>
    <t>COLADERA MALLA DOBLE 16 CMS.</t>
  </si>
  <si>
    <t>REFRIGERADOR VERTICAL</t>
  </si>
  <si>
    <t>BASCULA PEDIATRICA</t>
  </si>
  <si>
    <t>RADIOGRABADORA</t>
  </si>
  <si>
    <t>LICUADORA INDUSTRIAL</t>
  </si>
  <si>
    <t>NUEVE CALENTADORES SOLARES</t>
  </si>
  <si>
    <t xml:space="preserve">COLUMPIO </t>
  </si>
  <si>
    <t xml:space="preserve">RESBALADILLA </t>
  </si>
  <si>
    <t>SUBE Y BAJA</t>
  </si>
  <si>
    <t xml:space="preserve">CENTRAL TELEFONICA </t>
  </si>
  <si>
    <t xml:space="preserve">TELEFONO MULTILINEA </t>
  </si>
  <si>
    <t>TELEFONO UNILINEA</t>
  </si>
  <si>
    <t>MODULO DE CONEXIÓN PARA LA TOMA DE CADA TELEFONO.</t>
  </si>
  <si>
    <t>CANALETA PARA INTERIORES</t>
  </si>
  <si>
    <t>BOBINA DE CABLE INTERIORES TELEFÓNICO CON AISLAMIENTO P HUMEDAD</t>
  </si>
  <si>
    <t>MODULO P/ADMINISTRAR Y ORGANIZAR CABLEADO DE LINEAS TELEFONICAS</t>
  </si>
  <si>
    <t>MATERIAL DE INSTALAC. Y TERMINAC. DE SERV. VOZ, MAT. SELLADOR  PARA CABLEADO DE LINEAS TELEFONICAS</t>
  </si>
  <si>
    <t>SERVICIO DE INSTALACION TELEFONICA</t>
  </si>
  <si>
    <t>Sin</t>
  </si>
  <si>
    <t>Edificio de dos plantas ubicado en Calle Nueva No. 2, Colonia IV Señorío, esquina con Calle Alcatraz, San Sebastian Atlahapa, Tlaxcala.</t>
  </si>
  <si>
    <t>Predio de 1000 metros cuadrados ubicado en San Sebastian Atlahapa, Municipio de Tlaxcala, denominado La Ladrillera, IV Señorío.</t>
  </si>
  <si>
    <t>Fideicomiso Fondo de Ayuda, Asistencia y Reparación de Daño a las Víctimas y Ofendidos, para el Estado de Tlaxcala</t>
  </si>
  <si>
    <t>Lic. Leonardo Adrián Luna Ramírez</t>
  </si>
  <si>
    <t>Director del Fondo de Ayuda, Asistencia y Reparación de Daño a las Víctimas y Ofendidos</t>
  </si>
  <si>
    <t>Peso</t>
  </si>
  <si>
    <t>México</t>
  </si>
  <si>
    <t>Fideicomiso Fondo de Ayuda, Asistencia y Reparación de Daño a las Víctimas y Ofendidos</t>
  </si>
  <si>
    <t>Cuenta  Pública 2016</t>
  </si>
  <si>
    <t>Del 1 de enero al 31 de marzo de 2016 y 2015</t>
  </si>
  <si>
    <t>Cuenta Pública 2016</t>
  </si>
  <si>
    <t>Al 31 de marzo de 2016 y 2015</t>
  </si>
  <si>
    <t>Del 1 de enero al 31 de marzo de 2016</t>
  </si>
  <si>
    <t>Del 1 de enero al 31 de marzo 2016</t>
  </si>
  <si>
    <t>Saldo Neto en la Hacienda Pública / Patrimonio 2016</t>
  </si>
  <si>
    <t>Cambios en la Hacienda Pública/Patrimonio Neto del Ejercicio 2016</t>
  </si>
  <si>
    <t>Hacienda Pública/Patrimonio Neto Final del Ejercicio 2015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</si>
</sst>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71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34" fillId="4" borderId="19" xfId="0" applyFont="1" applyFill="1" applyBorder="1" applyAlignment="1">
      <alignment horizontal="center" vertical="center" wrapText="1"/>
    </xf>
    <xf numFmtId="3" fontId="34" fillId="4" borderId="0" xfId="0" applyNumberFormat="1" applyFont="1" applyFill="1" applyBorder="1"/>
    <xf numFmtId="0" fontId="33" fillId="7" borderId="6" xfId="3" applyFont="1" applyFill="1" applyBorder="1" applyAlignment="1" applyProtection="1">
      <alignment horizontal="center" vertical="center"/>
    </xf>
    <xf numFmtId="0" fontId="34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34" fillId="4" borderId="2" xfId="0" applyFont="1" applyFill="1" applyBorder="1" applyProtection="1">
      <protection locked="0"/>
    </xf>
    <xf numFmtId="0" fontId="34" fillId="4" borderId="5" xfId="0" applyFont="1" applyFill="1" applyBorder="1" applyProtection="1">
      <protection locked="0"/>
    </xf>
    <xf numFmtId="0" fontId="39" fillId="4" borderId="1" xfId="0" applyFont="1" applyFill="1" applyBorder="1" applyAlignment="1" applyProtection="1">
      <alignment vertical="top"/>
      <protection locked="0"/>
    </xf>
    <xf numFmtId="3" fontId="5" fillId="4" borderId="2" xfId="0" applyNumberFormat="1" applyFont="1" applyFill="1" applyBorder="1" applyAlignment="1" applyProtection="1">
      <alignment vertical="top"/>
      <protection locked="0"/>
    </xf>
    <xf numFmtId="0" fontId="34" fillId="4" borderId="1" xfId="0" applyFont="1" applyFill="1" applyBorder="1" applyProtection="1">
      <protection locked="0"/>
    </xf>
    <xf numFmtId="0" fontId="34" fillId="4" borderId="3" xfId="0" applyFont="1" applyFill="1" applyBorder="1" applyProtection="1">
      <protection locked="0"/>
    </xf>
    <xf numFmtId="0" fontId="34" fillId="4" borderId="4" xfId="0" applyFont="1" applyFill="1" applyBorder="1" applyAlignment="1">
      <alignment horizontal="center" vertical="center" wrapText="1"/>
    </xf>
    <xf numFmtId="0" fontId="2" fillId="4" borderId="8" xfId="3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2" fillId="4" borderId="11" xfId="3" applyFont="1" applyFill="1" applyBorder="1" applyAlignment="1" applyProtection="1">
      <alignment vertical="center"/>
      <protection locked="0"/>
    </xf>
    <xf numFmtId="167" fontId="5" fillId="4" borderId="1" xfId="2" applyNumberFormat="1" applyFont="1" applyFill="1" applyBorder="1" applyAlignment="1" applyProtection="1">
      <alignment horizontal="right"/>
      <protection locked="0"/>
    </xf>
    <xf numFmtId="167" fontId="5" fillId="4" borderId="1" xfId="2" applyNumberFormat="1" applyFont="1" applyFill="1" applyBorder="1" applyProtection="1">
      <protection locked="0"/>
    </xf>
    <xf numFmtId="167" fontId="34" fillId="4" borderId="1" xfId="2" applyNumberFormat="1" applyFont="1" applyFill="1" applyBorder="1" applyProtection="1">
      <protection locked="0"/>
    </xf>
    <xf numFmtId="167" fontId="34" fillId="4" borderId="1" xfId="2" applyNumberFormat="1" applyFont="1" applyFill="1" applyBorder="1"/>
    <xf numFmtId="167" fontId="34" fillId="4" borderId="3" xfId="2" applyNumberFormat="1" applyFont="1" applyFill="1" applyBorder="1"/>
    <xf numFmtId="0" fontId="34" fillId="4" borderId="11" xfId="0" applyFont="1" applyFill="1" applyBorder="1" applyProtection="1">
      <protection locked="0"/>
    </xf>
    <xf numFmtId="0" fontId="34" fillId="4" borderId="8" xfId="0" applyFont="1" applyFill="1" applyBorder="1" applyProtection="1">
      <protection locked="0"/>
    </xf>
    <xf numFmtId="0" fontId="55" fillId="7" borderId="38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3" fontId="56" fillId="7" borderId="39" xfId="2" applyFont="1" applyFill="1" applyBorder="1" applyAlignment="1" applyProtection="1">
      <alignment horizontal="center" vertical="center"/>
    </xf>
    <xf numFmtId="167" fontId="5" fillId="4" borderId="1" xfId="2" applyNumberFormat="1" applyFont="1" applyFill="1" applyBorder="1" applyAlignment="1">
      <alignment horizontal="center" vertical="center"/>
    </xf>
    <xf numFmtId="167" fontId="5" fillId="4" borderId="3" xfId="2" applyNumberFormat="1" applyFont="1" applyFill="1" applyBorder="1" applyAlignment="1">
      <alignment horizontal="center" vertical="center"/>
    </xf>
    <xf numFmtId="167" fontId="34" fillId="4" borderId="1" xfId="2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vertical="center"/>
      <protection locked="0"/>
    </xf>
    <xf numFmtId="167" fontId="5" fillId="4" borderId="1" xfId="2" applyNumberFormat="1" applyFont="1" applyFill="1" applyBorder="1" applyAlignment="1">
      <alignment horizontal="right" vertical="center"/>
    </xf>
    <xf numFmtId="167" fontId="5" fillId="4" borderId="1" xfId="2" applyNumberFormat="1" applyFont="1" applyFill="1" applyBorder="1" applyAlignment="1">
      <alignment horizontal="right" vertical="center" readingOrder="1"/>
    </xf>
    <xf numFmtId="167" fontId="5" fillId="4" borderId="1" xfId="2" applyNumberFormat="1" applyFont="1" applyFill="1" applyBorder="1" applyAlignment="1">
      <alignment horizontal="center" vertical="center" wrapText="1"/>
    </xf>
    <xf numFmtId="167" fontId="5" fillId="4" borderId="1" xfId="2" applyNumberFormat="1" applyFont="1" applyFill="1" applyBorder="1" applyAlignment="1">
      <alignment horizontal="center" vertical="center" wrapText="1" readingOrder="1"/>
    </xf>
    <xf numFmtId="167" fontId="5" fillId="4" borderId="3" xfId="2" applyNumberFormat="1" applyFont="1" applyFill="1" applyBorder="1" applyAlignment="1">
      <alignment horizontal="center" vertical="center" wrapText="1"/>
    </xf>
    <xf numFmtId="8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3" fontId="56" fillId="7" borderId="40" xfId="2" applyFont="1" applyFill="1" applyBorder="1" applyAlignment="1" applyProtection="1">
      <alignment horizontal="center" vertical="center"/>
    </xf>
    <xf numFmtId="167" fontId="5" fillId="4" borderId="41" xfId="2" applyNumberFormat="1" applyFont="1" applyFill="1" applyBorder="1" applyAlignment="1">
      <alignment horizontal="center" vertical="center" wrapText="1"/>
    </xf>
    <xf numFmtId="0" fontId="55" fillId="7" borderId="40" xfId="0" applyNumberFormat="1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/>
    </xf>
    <xf numFmtId="0" fontId="34" fillId="4" borderId="18" xfId="0" applyFont="1" applyFill="1" applyBorder="1" applyProtection="1">
      <protection locked="0"/>
    </xf>
    <xf numFmtId="0" fontId="34" fillId="4" borderId="19" xfId="0" applyFont="1" applyFill="1" applyBorder="1" applyProtection="1">
      <protection locked="0"/>
    </xf>
    <xf numFmtId="43" fontId="34" fillId="4" borderId="1" xfId="2" applyFont="1" applyFill="1" applyBorder="1"/>
    <xf numFmtId="43" fontId="57" fillId="4" borderId="1" xfId="2" applyFont="1" applyFill="1" applyBorder="1"/>
    <xf numFmtId="0" fontId="55" fillId="7" borderId="0" xfId="0" applyNumberFormat="1" applyFont="1" applyFill="1" applyBorder="1" applyAlignment="1" applyProtection="1">
      <alignment horizontal="center" vertical="center"/>
    </xf>
    <xf numFmtId="0" fontId="34" fillId="4" borderId="17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8" fontId="5" fillId="4" borderId="18" xfId="0" applyNumberFormat="1" applyFont="1" applyFill="1" applyBorder="1" applyAlignment="1">
      <alignment horizontal="center" vertical="justify" wrapText="1"/>
    </xf>
    <xf numFmtId="0" fontId="1" fillId="4" borderId="18" xfId="0" applyFont="1" applyFill="1" applyBorder="1" applyAlignment="1">
      <alignment horizontal="center" vertical="center" wrapText="1"/>
    </xf>
    <xf numFmtId="8" fontId="5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7" fillId="4" borderId="4" xfId="0" applyNumberFormat="1" applyFont="1" applyFill="1" applyBorder="1" applyAlignment="1" applyProtection="1">
      <protection locked="0"/>
    </xf>
    <xf numFmtId="43" fontId="21" fillId="4" borderId="18" xfId="2" applyFont="1" applyFill="1" applyBorder="1" applyAlignment="1">
      <alignment vertical="center" wrapText="1"/>
    </xf>
    <xf numFmtId="43" fontId="20" fillId="4" borderId="19" xfId="2" applyFont="1" applyFill="1" applyBorder="1" applyAlignment="1">
      <alignment horizontal="center"/>
    </xf>
    <xf numFmtId="167" fontId="21" fillId="4" borderId="18" xfId="2" applyNumberFormat="1" applyFont="1" applyFill="1" applyBorder="1" applyAlignment="1">
      <alignment vertical="center" wrapText="1"/>
    </xf>
    <xf numFmtId="167" fontId="20" fillId="4" borderId="5" xfId="2" applyNumberFormat="1" applyFont="1" applyFill="1" applyBorder="1" applyAlignment="1">
      <alignment horizontal="center"/>
    </xf>
    <xf numFmtId="167" fontId="20" fillId="4" borderId="19" xfId="2" applyNumberFormat="1" applyFont="1" applyFill="1" applyBorder="1" applyAlignment="1">
      <alignment horizontal="center"/>
    </xf>
    <xf numFmtId="43" fontId="1" fillId="4" borderId="7" xfId="2" applyFont="1" applyFill="1" applyBorder="1" applyAlignment="1">
      <alignment vertical="top" wrapText="1"/>
    </xf>
    <xf numFmtId="43" fontId="26" fillId="4" borderId="18" xfId="2" applyFont="1" applyFill="1" applyBorder="1" applyAlignment="1">
      <alignment vertical="center" wrapText="1"/>
    </xf>
    <xf numFmtId="43" fontId="23" fillId="4" borderId="18" xfId="2" applyFont="1" applyFill="1" applyBorder="1" applyAlignment="1">
      <alignment horizontal="center"/>
    </xf>
    <xf numFmtId="167" fontId="26" fillId="4" borderId="18" xfId="2" applyNumberFormat="1" applyFont="1" applyFill="1" applyBorder="1" applyAlignment="1">
      <alignment vertical="center" wrapText="1"/>
    </xf>
    <xf numFmtId="43" fontId="12" fillId="4" borderId="18" xfId="2" applyFont="1" applyFill="1" applyBorder="1" applyAlignment="1">
      <alignment horizontal="right" vertical="top" wrapText="1"/>
    </xf>
    <xf numFmtId="167" fontId="12" fillId="4" borderId="18" xfId="2" applyNumberFormat="1" applyFont="1" applyFill="1" applyBorder="1" applyAlignment="1">
      <alignment horizontal="right" vertical="top" wrapText="1"/>
    </xf>
    <xf numFmtId="167" fontId="13" fillId="4" borderId="19" xfId="2" applyNumberFormat="1" applyFont="1" applyFill="1" applyBorder="1" applyAlignment="1">
      <alignment horizontal="right" vertical="top" wrapText="1"/>
    </xf>
    <xf numFmtId="167" fontId="13" fillId="4" borderId="18" xfId="2" applyNumberFormat="1" applyFont="1" applyFill="1" applyBorder="1" applyAlignment="1">
      <alignment horizontal="right" vertical="center" wrapText="1"/>
    </xf>
    <xf numFmtId="167" fontId="12" fillId="4" borderId="18" xfId="2" applyNumberFormat="1" applyFont="1" applyFill="1" applyBorder="1" applyAlignment="1">
      <alignment horizontal="right" vertical="center" wrapText="1"/>
    </xf>
    <xf numFmtId="167" fontId="13" fillId="4" borderId="16" xfId="2" applyNumberFormat="1" applyFont="1" applyFill="1" applyBorder="1" applyAlignment="1">
      <alignment vertical="center" wrapText="1"/>
    </xf>
    <xf numFmtId="167" fontId="12" fillId="4" borderId="19" xfId="2" applyNumberFormat="1" applyFont="1" applyFill="1" applyBorder="1" applyAlignment="1">
      <alignment horizontal="justify" vertical="center" wrapText="1"/>
    </xf>
    <xf numFmtId="167" fontId="13" fillId="4" borderId="19" xfId="2" applyNumberFormat="1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167" fontId="13" fillId="4" borderId="18" xfId="2" applyNumberFormat="1" applyFont="1" applyFill="1" applyBorder="1" applyAlignment="1">
      <alignment horizontal="right" vertical="top" wrapText="1"/>
    </xf>
    <xf numFmtId="167" fontId="12" fillId="4" borderId="18" xfId="2" applyNumberFormat="1" applyFont="1" applyFill="1" applyBorder="1" applyAlignment="1">
      <alignment horizontal="right" vertical="top"/>
    </xf>
    <xf numFmtId="167" fontId="13" fillId="4" borderId="18" xfId="2" applyNumberFormat="1" applyFont="1" applyFill="1" applyBorder="1" applyAlignment="1">
      <alignment horizontal="right" vertical="top"/>
    </xf>
    <xf numFmtId="167" fontId="12" fillId="4" borderId="19" xfId="2" applyNumberFormat="1" applyFont="1" applyFill="1" applyBorder="1" applyAlignment="1">
      <alignment horizontal="right" vertical="top"/>
    </xf>
    <xf numFmtId="167" fontId="13" fillId="4" borderId="19" xfId="2" applyNumberFormat="1" applyFont="1" applyFill="1" applyBorder="1" applyAlignment="1">
      <alignment horizontal="right" vertical="top"/>
    </xf>
    <xf numFmtId="167" fontId="13" fillId="4" borderId="2" xfId="2" applyNumberFormat="1" applyFont="1" applyFill="1" applyBorder="1" applyAlignment="1">
      <alignment horizontal="right" vertical="center" wrapText="1"/>
    </xf>
    <xf numFmtId="167" fontId="12" fillId="4" borderId="2" xfId="2" applyNumberFormat="1" applyFont="1" applyFill="1" applyBorder="1" applyAlignment="1">
      <alignment horizontal="right" vertical="center" wrapText="1"/>
    </xf>
    <xf numFmtId="167" fontId="12" fillId="4" borderId="5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0" fontId="7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43" fontId="21" fillId="4" borderId="17" xfId="2" applyFont="1" applyFill="1" applyBorder="1" applyAlignment="1">
      <alignment horizontal="right" vertical="center" wrapText="1"/>
    </xf>
    <xf numFmtId="43" fontId="21" fillId="4" borderId="19" xfId="2" applyFont="1" applyFill="1" applyBorder="1" applyAlignment="1">
      <alignment horizontal="right" vertical="center" wrapText="1"/>
    </xf>
    <xf numFmtId="43" fontId="4" fillId="0" borderId="9" xfId="2" applyFont="1" applyBorder="1" applyAlignment="1">
      <alignment horizontal="center" vertical="top" wrapText="1"/>
    </xf>
    <xf numFmtId="43" fontId="4" fillId="0" borderId="10" xfId="2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9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I12" sqref="I12:I5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550" t="s">
        <v>1016</v>
      </c>
      <c r="D1" s="550"/>
      <c r="E1" s="550"/>
      <c r="F1" s="550"/>
      <c r="G1" s="550"/>
      <c r="H1" s="550"/>
      <c r="I1" s="550"/>
      <c r="J1" s="21"/>
      <c r="K1" s="21"/>
    </row>
    <row r="2" spans="1:11" ht="12.75">
      <c r="B2" s="19"/>
      <c r="C2" s="550" t="s">
        <v>81</v>
      </c>
      <c r="D2" s="550"/>
      <c r="E2" s="550"/>
      <c r="F2" s="550"/>
      <c r="G2" s="550"/>
      <c r="H2" s="550"/>
      <c r="I2" s="550"/>
      <c r="J2" s="19"/>
      <c r="K2" s="19"/>
    </row>
    <row r="3" spans="1:11" ht="12.75">
      <c r="B3" s="19"/>
      <c r="C3" s="550" t="s">
        <v>1017</v>
      </c>
      <c r="D3" s="550"/>
      <c r="E3" s="550"/>
      <c r="F3" s="550"/>
      <c r="G3" s="550"/>
      <c r="H3" s="550"/>
      <c r="I3" s="550"/>
      <c r="J3" s="19"/>
      <c r="K3" s="19"/>
    </row>
    <row r="4" spans="1:11" ht="12.75">
      <c r="B4" s="19"/>
      <c r="C4" s="550" t="s">
        <v>1</v>
      </c>
      <c r="D4" s="550"/>
      <c r="E4" s="550"/>
      <c r="F4" s="550"/>
      <c r="G4" s="550"/>
      <c r="H4" s="550"/>
      <c r="I4" s="550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551" t="s">
        <v>1010</v>
      </c>
      <c r="D6" s="551"/>
      <c r="E6" s="551"/>
      <c r="F6" s="551"/>
      <c r="G6" s="551"/>
      <c r="H6" s="551"/>
      <c r="I6" s="551"/>
      <c r="J6" s="551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549" t="s">
        <v>76</v>
      </c>
      <c r="C9" s="549"/>
      <c r="D9" s="55">
        <v>2016</v>
      </c>
      <c r="E9" s="55">
        <v>2015</v>
      </c>
      <c r="F9" s="58"/>
      <c r="G9" s="549" t="s">
        <v>76</v>
      </c>
      <c r="H9" s="549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548" t="s">
        <v>82</v>
      </c>
      <c r="C11" s="548"/>
      <c r="D11" s="49"/>
      <c r="E11" s="49"/>
      <c r="F11" s="31"/>
      <c r="G11" s="548" t="s">
        <v>83</v>
      </c>
      <c r="H11" s="548"/>
      <c r="I11" s="49"/>
      <c r="J11" s="49"/>
      <c r="K11" s="62"/>
    </row>
    <row r="12" spans="1:11" ht="12.75">
      <c r="A12" s="33"/>
      <c r="B12" s="546" t="s">
        <v>84</v>
      </c>
      <c r="C12" s="546"/>
      <c r="D12" s="50">
        <f>SUM(D13:D20)</f>
        <v>0</v>
      </c>
      <c r="E12" s="50">
        <f>SUM(E13:E20)</f>
        <v>0</v>
      </c>
      <c r="F12" s="31"/>
      <c r="G12" s="548" t="s">
        <v>85</v>
      </c>
      <c r="H12" s="548"/>
      <c r="I12" s="50">
        <f>SUM(I13:I15)</f>
        <v>428038</v>
      </c>
      <c r="J12" s="50">
        <f>SUM(J13:J15)</f>
        <v>1697095</v>
      </c>
      <c r="K12" s="64"/>
    </row>
    <row r="13" spans="1:11">
      <c r="A13" s="32"/>
      <c r="B13" s="545" t="s">
        <v>86</v>
      </c>
      <c r="C13" s="545"/>
      <c r="D13" s="65">
        <v>0</v>
      </c>
      <c r="E13" s="65">
        <v>0</v>
      </c>
      <c r="F13" s="31"/>
      <c r="G13" s="545" t="s">
        <v>87</v>
      </c>
      <c r="H13" s="545"/>
      <c r="I13" s="65">
        <v>228508</v>
      </c>
      <c r="J13" s="65">
        <v>968281</v>
      </c>
      <c r="K13" s="64"/>
    </row>
    <row r="14" spans="1:11">
      <c r="A14" s="32"/>
      <c r="B14" s="545" t="s">
        <v>88</v>
      </c>
      <c r="C14" s="545"/>
      <c r="D14" s="65">
        <v>0</v>
      </c>
      <c r="E14" s="65">
        <v>0</v>
      </c>
      <c r="F14" s="31"/>
      <c r="G14" s="545" t="s">
        <v>89</v>
      </c>
      <c r="H14" s="545"/>
      <c r="I14" s="65">
        <v>137446</v>
      </c>
      <c r="J14" s="65">
        <v>537115</v>
      </c>
      <c r="K14" s="64"/>
    </row>
    <row r="15" spans="1:11" ht="12" customHeight="1">
      <c r="A15" s="32"/>
      <c r="B15" s="545" t="s">
        <v>90</v>
      </c>
      <c r="C15" s="545"/>
      <c r="D15" s="65">
        <v>0</v>
      </c>
      <c r="E15" s="65">
        <v>0</v>
      </c>
      <c r="F15" s="31"/>
      <c r="G15" s="545" t="s">
        <v>91</v>
      </c>
      <c r="H15" s="545"/>
      <c r="I15" s="65">
        <v>62084</v>
      </c>
      <c r="J15" s="65">
        <v>191699</v>
      </c>
      <c r="K15" s="64"/>
    </row>
    <row r="16" spans="1:11" ht="12.75">
      <c r="A16" s="32"/>
      <c r="B16" s="545" t="s">
        <v>92</v>
      </c>
      <c r="C16" s="545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545" t="s">
        <v>93</v>
      </c>
      <c r="C17" s="545"/>
      <c r="D17" s="65">
        <v>0</v>
      </c>
      <c r="E17" s="65">
        <v>0</v>
      </c>
      <c r="F17" s="31"/>
      <c r="G17" s="548" t="s">
        <v>198</v>
      </c>
      <c r="H17" s="548"/>
      <c r="I17" s="50">
        <f>SUM(I18:I26)</f>
        <v>0</v>
      </c>
      <c r="J17" s="50">
        <f>SUM(J18:J26)</f>
        <v>9990</v>
      </c>
      <c r="K17" s="64"/>
    </row>
    <row r="18" spans="1:11">
      <c r="A18" s="32"/>
      <c r="B18" s="545" t="s">
        <v>94</v>
      </c>
      <c r="C18" s="545"/>
      <c r="D18" s="65">
        <v>0</v>
      </c>
      <c r="E18" s="65"/>
      <c r="F18" s="31"/>
      <c r="G18" s="545" t="s">
        <v>95</v>
      </c>
      <c r="H18" s="545"/>
      <c r="I18" s="65">
        <v>0</v>
      </c>
      <c r="J18" s="65">
        <v>0</v>
      </c>
      <c r="K18" s="64"/>
    </row>
    <row r="19" spans="1:11">
      <c r="A19" s="32"/>
      <c r="B19" s="545" t="s">
        <v>96</v>
      </c>
      <c r="C19" s="545"/>
      <c r="D19" s="65">
        <v>0</v>
      </c>
      <c r="E19" s="65">
        <v>0</v>
      </c>
      <c r="F19" s="31"/>
      <c r="G19" s="545" t="s">
        <v>97</v>
      </c>
      <c r="H19" s="545"/>
      <c r="I19" s="65">
        <v>0</v>
      </c>
      <c r="J19" s="65">
        <v>0</v>
      </c>
      <c r="K19" s="64"/>
    </row>
    <row r="20" spans="1:11" ht="52.5" customHeight="1">
      <c r="A20" s="32"/>
      <c r="B20" s="547" t="s">
        <v>98</v>
      </c>
      <c r="C20" s="547"/>
      <c r="D20" s="65">
        <v>0</v>
      </c>
      <c r="E20" s="65">
        <v>0</v>
      </c>
      <c r="F20" s="31"/>
      <c r="G20" s="545" t="s">
        <v>99</v>
      </c>
      <c r="H20" s="545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545" t="s">
        <v>100</v>
      </c>
      <c r="H21" s="545"/>
      <c r="I21" s="65">
        <v>0</v>
      </c>
      <c r="J21" s="65">
        <v>9990</v>
      </c>
      <c r="K21" s="64"/>
    </row>
    <row r="22" spans="1:11" ht="37.5" customHeight="1">
      <c r="A22" s="33"/>
      <c r="B22" s="546" t="s">
        <v>101</v>
      </c>
      <c r="C22" s="546"/>
      <c r="D22" s="50">
        <f>SUM(D23:D24)</f>
        <v>612000</v>
      </c>
      <c r="E22" s="50">
        <f>SUM(E23:E24)</f>
        <v>2515871</v>
      </c>
      <c r="F22" s="31"/>
      <c r="G22" s="545" t="s">
        <v>102</v>
      </c>
      <c r="H22" s="545"/>
      <c r="I22" s="65">
        <v>0</v>
      </c>
      <c r="J22" s="65">
        <v>0</v>
      </c>
      <c r="K22" s="64"/>
    </row>
    <row r="23" spans="1:11">
      <c r="A23" s="32"/>
      <c r="B23" s="545" t="s">
        <v>103</v>
      </c>
      <c r="C23" s="545"/>
      <c r="D23" s="53">
        <v>0</v>
      </c>
      <c r="E23" s="53">
        <v>0</v>
      </c>
      <c r="F23" s="31"/>
      <c r="G23" s="545" t="s">
        <v>104</v>
      </c>
      <c r="H23" s="545"/>
      <c r="I23" s="65">
        <v>0</v>
      </c>
      <c r="J23" s="65">
        <v>0</v>
      </c>
      <c r="K23" s="64"/>
    </row>
    <row r="24" spans="1:11" ht="21" customHeight="1">
      <c r="A24" s="32"/>
      <c r="B24" s="545" t="s">
        <v>197</v>
      </c>
      <c r="C24" s="545"/>
      <c r="D24" s="65">
        <v>612000</v>
      </c>
      <c r="E24" s="65">
        <v>2515871</v>
      </c>
      <c r="F24" s="31"/>
      <c r="G24" s="545" t="s">
        <v>105</v>
      </c>
      <c r="H24" s="54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545" t="s">
        <v>106</v>
      </c>
      <c r="H25" s="545"/>
      <c r="I25" s="65">
        <v>0</v>
      </c>
      <c r="J25" s="65">
        <v>0</v>
      </c>
      <c r="K25" s="64"/>
    </row>
    <row r="26" spans="1:11" ht="12.75">
      <c r="A26" s="32"/>
      <c r="B26" s="546" t="s">
        <v>107</v>
      </c>
      <c r="C26" s="546"/>
      <c r="D26" s="50">
        <f>SUM(D27:D31)</f>
        <v>1530</v>
      </c>
      <c r="E26" s="50">
        <f>SUM(E27:E31)</f>
        <v>2323</v>
      </c>
      <c r="F26" s="31"/>
      <c r="G26" s="545" t="s">
        <v>108</v>
      </c>
      <c r="H26" s="545"/>
      <c r="I26" s="65">
        <v>0</v>
      </c>
      <c r="J26" s="65">
        <v>0</v>
      </c>
      <c r="K26" s="64"/>
    </row>
    <row r="27" spans="1:11" ht="12.75">
      <c r="A27" s="32"/>
      <c r="B27" s="545" t="s">
        <v>109</v>
      </c>
      <c r="C27" s="545"/>
      <c r="D27" s="65">
        <v>1530</v>
      </c>
      <c r="E27" s="65">
        <v>2323</v>
      </c>
      <c r="F27" s="31"/>
      <c r="G27" s="34"/>
      <c r="H27" s="42"/>
      <c r="I27" s="66"/>
      <c r="J27" s="66"/>
      <c r="K27" s="64"/>
    </row>
    <row r="28" spans="1:11" ht="12.75">
      <c r="A28" s="32"/>
      <c r="B28" s="545" t="s">
        <v>110</v>
      </c>
      <c r="C28" s="545"/>
      <c r="D28" s="65">
        <v>0</v>
      </c>
      <c r="E28" s="65">
        <v>0</v>
      </c>
      <c r="F28" s="31"/>
      <c r="G28" s="546" t="s">
        <v>103</v>
      </c>
      <c r="H28" s="54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547" t="s">
        <v>111</v>
      </c>
      <c r="C29" s="547"/>
      <c r="D29" s="65">
        <v>0</v>
      </c>
      <c r="E29" s="65">
        <v>0</v>
      </c>
      <c r="F29" s="31"/>
      <c r="G29" s="545" t="s">
        <v>112</v>
      </c>
      <c r="H29" s="545"/>
      <c r="I29" s="65">
        <v>0</v>
      </c>
      <c r="J29" s="65">
        <v>0</v>
      </c>
      <c r="K29" s="64"/>
    </row>
    <row r="30" spans="1:11">
      <c r="A30" s="32"/>
      <c r="B30" s="545" t="s">
        <v>113</v>
      </c>
      <c r="C30" s="545"/>
      <c r="D30" s="65">
        <v>0</v>
      </c>
      <c r="E30" s="65">
        <v>0</v>
      </c>
      <c r="F30" s="31"/>
      <c r="G30" s="545" t="s">
        <v>50</v>
      </c>
      <c r="H30" s="545"/>
      <c r="I30" s="65">
        <v>0</v>
      </c>
      <c r="J30" s="65">
        <v>0</v>
      </c>
      <c r="K30" s="64"/>
    </row>
    <row r="31" spans="1:11">
      <c r="A31" s="32"/>
      <c r="B31" s="545" t="s">
        <v>114</v>
      </c>
      <c r="C31" s="545"/>
      <c r="D31" s="65">
        <v>0</v>
      </c>
      <c r="E31" s="65">
        <v>0</v>
      </c>
      <c r="F31" s="31"/>
      <c r="G31" s="545" t="s">
        <v>115</v>
      </c>
      <c r="H31" s="54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544" t="s">
        <v>116</v>
      </c>
      <c r="C33" s="544"/>
      <c r="D33" s="68">
        <f>D12+D22+D26</f>
        <v>613530</v>
      </c>
      <c r="E33" s="68">
        <f>E12+E22+E26</f>
        <v>2518194</v>
      </c>
      <c r="F33" s="69"/>
      <c r="G33" s="548" t="s">
        <v>117</v>
      </c>
      <c r="H33" s="548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544"/>
      <c r="C34" s="544"/>
      <c r="D34" s="49"/>
      <c r="E34" s="49"/>
      <c r="F34" s="31"/>
      <c r="G34" s="545" t="s">
        <v>118</v>
      </c>
      <c r="H34" s="54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545" t="s">
        <v>119</v>
      </c>
      <c r="H35" s="54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545" t="s">
        <v>120</v>
      </c>
      <c r="H36" s="54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545" t="s">
        <v>121</v>
      </c>
      <c r="H37" s="54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545" t="s">
        <v>122</v>
      </c>
      <c r="H38" s="54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546" t="s">
        <v>123</v>
      </c>
      <c r="H40" s="546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547" t="s">
        <v>124</v>
      </c>
      <c r="H41" s="54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545" t="s">
        <v>125</v>
      </c>
      <c r="H42" s="54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545" t="s">
        <v>126</v>
      </c>
      <c r="H43" s="54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547" t="s">
        <v>199</v>
      </c>
      <c r="H44" s="54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545" t="s">
        <v>127</v>
      </c>
      <c r="H45" s="54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545" t="s">
        <v>128</v>
      </c>
      <c r="H46" s="54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546" t="s">
        <v>129</v>
      </c>
      <c r="H48" s="546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545" t="s">
        <v>130</v>
      </c>
      <c r="H49" s="545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544" t="s">
        <v>131</v>
      </c>
      <c r="H51" s="544"/>
      <c r="I51" s="71">
        <f>I12+I17+I28+I33+I40+I48</f>
        <v>428038</v>
      </c>
      <c r="J51" s="71">
        <f>J12+J17+J28+J33+J40+J48</f>
        <v>1707085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539" t="s">
        <v>132</v>
      </c>
      <c r="H53" s="539"/>
      <c r="I53" s="71">
        <f>D33-I51</f>
        <v>185492</v>
      </c>
      <c r="J53" s="71">
        <f>E33-J51</f>
        <v>811109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540" t="s">
        <v>78</v>
      </c>
      <c r="C58" s="540"/>
      <c r="D58" s="540"/>
      <c r="E58" s="540"/>
      <c r="F58" s="540"/>
      <c r="G58" s="540"/>
      <c r="H58" s="540"/>
      <c r="I58" s="540"/>
      <c r="J58" s="540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541"/>
      <c r="D60" s="541"/>
      <c r="E60" s="44"/>
      <c r="G60" s="542"/>
      <c r="H60" s="542"/>
      <c r="I60" s="44"/>
      <c r="J60" s="44"/>
    </row>
    <row r="61" spans="1:11" ht="14.1" customHeight="1">
      <c r="B61" s="46"/>
      <c r="C61" s="543" t="s">
        <v>1011</v>
      </c>
      <c r="D61" s="543"/>
      <c r="E61" s="44"/>
      <c r="F61" s="44"/>
      <c r="G61" s="543" t="s">
        <v>1011</v>
      </c>
      <c r="H61" s="543"/>
      <c r="I61" s="35"/>
      <c r="J61" s="44"/>
    </row>
    <row r="62" spans="1:11" ht="35.25" customHeight="1">
      <c r="B62" s="47"/>
      <c r="C62" s="538" t="s">
        <v>1012</v>
      </c>
      <c r="D62" s="538"/>
      <c r="E62" s="48"/>
      <c r="F62" s="48"/>
      <c r="G62" s="538" t="s">
        <v>1012</v>
      </c>
      <c r="H62" s="538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G12" sqref="G12"/>
    </sheetView>
  </sheetViews>
  <sheetFormatPr baseColWidth="10" defaultRowHeight="15"/>
  <cols>
    <col min="1" max="1" width="2.28515625" style="114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4" customWidth="1"/>
  </cols>
  <sheetData>
    <row r="1" spans="2:9" s="114" customFormat="1">
      <c r="B1" s="78"/>
      <c r="C1" s="78"/>
      <c r="D1" s="78"/>
      <c r="E1" s="78"/>
      <c r="F1" s="78"/>
      <c r="G1" s="78"/>
      <c r="H1" s="78"/>
      <c r="I1" s="78"/>
    </row>
    <row r="2" spans="2:9">
      <c r="B2" s="627" t="s">
        <v>1018</v>
      </c>
      <c r="C2" s="628"/>
      <c r="D2" s="628"/>
      <c r="E2" s="628"/>
      <c r="F2" s="628"/>
      <c r="G2" s="628"/>
      <c r="H2" s="628"/>
      <c r="I2" s="629"/>
    </row>
    <row r="3" spans="2:9">
      <c r="B3" s="630" t="s">
        <v>408</v>
      </c>
      <c r="C3" s="631"/>
      <c r="D3" s="631"/>
      <c r="E3" s="631"/>
      <c r="F3" s="631"/>
      <c r="G3" s="631"/>
      <c r="H3" s="631"/>
      <c r="I3" s="632"/>
    </row>
    <row r="4" spans="2:9">
      <c r="B4" s="630" t="s">
        <v>234</v>
      </c>
      <c r="C4" s="631"/>
      <c r="D4" s="631"/>
      <c r="E4" s="631"/>
      <c r="F4" s="631"/>
      <c r="G4" s="631"/>
      <c r="H4" s="631"/>
      <c r="I4" s="632"/>
    </row>
    <row r="5" spans="2:9">
      <c r="B5" s="630" t="s">
        <v>235</v>
      </c>
      <c r="C5" s="631"/>
      <c r="D5" s="631"/>
      <c r="E5" s="631"/>
      <c r="F5" s="631"/>
      <c r="G5" s="631"/>
      <c r="H5" s="631"/>
      <c r="I5" s="632"/>
    </row>
    <row r="6" spans="2:9">
      <c r="B6" s="633" t="s">
        <v>1020</v>
      </c>
      <c r="C6" s="634"/>
      <c r="D6" s="634"/>
      <c r="E6" s="634"/>
      <c r="F6" s="634"/>
      <c r="G6" s="634"/>
      <c r="H6" s="634"/>
      <c r="I6" s="635"/>
    </row>
    <row r="7" spans="2:9" s="114" customFormat="1">
      <c r="B7" s="78"/>
      <c r="C7" s="78"/>
      <c r="D7" s="78"/>
      <c r="E7" s="78"/>
      <c r="F7" s="78"/>
      <c r="G7" s="78"/>
      <c r="H7" s="78"/>
      <c r="I7" s="78"/>
    </row>
    <row r="8" spans="2:9">
      <c r="B8" s="650" t="s">
        <v>76</v>
      </c>
      <c r="C8" s="650"/>
      <c r="D8" s="651" t="s">
        <v>236</v>
      </c>
      <c r="E8" s="651"/>
      <c r="F8" s="651"/>
      <c r="G8" s="651"/>
      <c r="H8" s="651"/>
      <c r="I8" s="651" t="s">
        <v>237</v>
      </c>
    </row>
    <row r="9" spans="2:9" ht="22.5">
      <c r="B9" s="650"/>
      <c r="C9" s="650"/>
      <c r="D9" s="115" t="s">
        <v>238</v>
      </c>
      <c r="E9" s="115" t="s">
        <v>239</v>
      </c>
      <c r="F9" s="115" t="s">
        <v>212</v>
      </c>
      <c r="G9" s="115" t="s">
        <v>213</v>
      </c>
      <c r="H9" s="115" t="s">
        <v>240</v>
      </c>
      <c r="I9" s="651"/>
    </row>
    <row r="10" spans="2:9">
      <c r="B10" s="650"/>
      <c r="C10" s="650"/>
      <c r="D10" s="115">
        <v>1</v>
      </c>
      <c r="E10" s="115">
        <v>2</v>
      </c>
      <c r="F10" s="115" t="s">
        <v>241</v>
      </c>
      <c r="G10" s="115">
        <v>4</v>
      </c>
      <c r="H10" s="115">
        <v>5</v>
      </c>
      <c r="I10" s="115" t="s">
        <v>242</v>
      </c>
    </row>
    <row r="11" spans="2:9">
      <c r="B11" s="116"/>
      <c r="C11" s="117"/>
      <c r="D11" s="118"/>
      <c r="E11" s="118"/>
      <c r="F11" s="118"/>
      <c r="G11" s="118"/>
      <c r="H11" s="118"/>
      <c r="I11" s="118"/>
    </row>
    <row r="12" spans="2:9" ht="22.5">
      <c r="B12" s="119"/>
      <c r="C12" s="120" t="s">
        <v>1015</v>
      </c>
      <c r="D12" s="516">
        <v>2516000</v>
      </c>
      <c r="E12" s="516">
        <v>0</v>
      </c>
      <c r="F12" s="516">
        <f>+D12+E12</f>
        <v>2516000</v>
      </c>
      <c r="G12" s="516">
        <v>438032</v>
      </c>
      <c r="H12" s="516">
        <v>438032</v>
      </c>
      <c r="I12" s="516">
        <f>+F12-G12</f>
        <v>2077968</v>
      </c>
    </row>
    <row r="13" spans="2:9">
      <c r="B13" s="119"/>
      <c r="C13" s="120"/>
      <c r="D13" s="128"/>
      <c r="E13" s="128"/>
      <c r="F13" s="128"/>
      <c r="G13" s="128"/>
      <c r="H13" s="128"/>
      <c r="I13" s="128"/>
    </row>
    <row r="14" spans="2:9">
      <c r="B14" s="119"/>
      <c r="C14" s="120"/>
      <c r="D14" s="128"/>
      <c r="E14" s="128"/>
      <c r="F14" s="128"/>
      <c r="G14" s="128"/>
      <c r="H14" s="128"/>
      <c r="I14" s="128"/>
    </row>
    <row r="15" spans="2:9">
      <c r="B15" s="119"/>
      <c r="C15" s="120"/>
      <c r="D15" s="128"/>
      <c r="E15" s="128"/>
      <c r="F15" s="128"/>
      <c r="G15" s="128"/>
      <c r="H15" s="128"/>
      <c r="I15" s="128"/>
    </row>
    <row r="16" spans="2:9">
      <c r="B16" s="119"/>
      <c r="C16" s="120"/>
      <c r="D16" s="128"/>
      <c r="E16" s="128"/>
      <c r="F16" s="128"/>
      <c r="G16" s="128"/>
      <c r="H16" s="128"/>
      <c r="I16" s="128"/>
    </row>
    <row r="17" spans="1:10">
      <c r="B17" s="119"/>
      <c r="C17" s="120"/>
      <c r="D17" s="128"/>
      <c r="E17" s="128"/>
      <c r="F17" s="128"/>
      <c r="G17" s="128"/>
      <c r="H17" s="128"/>
      <c r="I17" s="128"/>
    </row>
    <row r="18" spans="1:10">
      <c r="B18" s="119"/>
      <c r="C18" s="120"/>
      <c r="D18" s="128"/>
      <c r="E18" s="128"/>
      <c r="F18" s="128"/>
      <c r="G18" s="128"/>
      <c r="H18" s="128"/>
      <c r="I18" s="128"/>
    </row>
    <row r="19" spans="1:10">
      <c r="B19" s="119"/>
      <c r="C19" s="120"/>
      <c r="D19" s="128"/>
      <c r="E19" s="128"/>
      <c r="F19" s="128"/>
      <c r="G19" s="128"/>
      <c r="H19" s="128"/>
      <c r="I19" s="128"/>
    </row>
    <row r="20" spans="1:10">
      <c r="B20" s="119"/>
      <c r="C20" s="120"/>
      <c r="D20" s="128"/>
      <c r="E20" s="128"/>
      <c r="F20" s="128"/>
      <c r="G20" s="128"/>
      <c r="H20" s="128"/>
      <c r="I20" s="128"/>
    </row>
    <row r="21" spans="1:10">
      <c r="B21" s="121"/>
      <c r="C21" s="122"/>
      <c r="D21" s="123"/>
      <c r="E21" s="123"/>
      <c r="F21" s="123"/>
      <c r="G21" s="123"/>
      <c r="H21" s="123"/>
      <c r="I21" s="123"/>
    </row>
    <row r="22" spans="1:10" s="127" customFormat="1">
      <c r="A22" s="124"/>
      <c r="B22" s="125"/>
      <c r="C22" s="126" t="s">
        <v>243</v>
      </c>
      <c r="D22" s="517">
        <f>SUM(D12:D20)</f>
        <v>2516000</v>
      </c>
      <c r="E22" s="517">
        <f t="shared" ref="E22:I22" si="0">SUM(E12:E20)</f>
        <v>0</v>
      </c>
      <c r="F22" s="517">
        <f t="shared" si="0"/>
        <v>2516000</v>
      </c>
      <c r="G22" s="517">
        <f t="shared" si="0"/>
        <v>438032</v>
      </c>
      <c r="H22" s="517">
        <f t="shared" si="0"/>
        <v>438032</v>
      </c>
      <c r="I22" s="517">
        <f t="shared" si="0"/>
        <v>2077968</v>
      </c>
      <c r="J22" s="124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opLeftCell="A70" workbookViewId="0">
      <selection activeCell="G84" sqref="G84"/>
    </sheetView>
  </sheetViews>
  <sheetFormatPr baseColWidth="10" defaultRowHeight="15"/>
  <cols>
    <col min="1" max="1" width="2.42578125" style="114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4" customWidth="1"/>
  </cols>
  <sheetData>
    <row r="1" spans="2:9">
      <c r="B1" s="627" t="s">
        <v>1018</v>
      </c>
      <c r="C1" s="628"/>
      <c r="D1" s="628"/>
      <c r="E1" s="628"/>
      <c r="F1" s="628"/>
      <c r="G1" s="628"/>
      <c r="H1" s="628"/>
      <c r="I1" s="629"/>
    </row>
    <row r="2" spans="2:9">
      <c r="B2" s="630" t="s">
        <v>408</v>
      </c>
      <c r="C2" s="631"/>
      <c r="D2" s="631"/>
      <c r="E2" s="631"/>
      <c r="F2" s="631"/>
      <c r="G2" s="631"/>
      <c r="H2" s="631"/>
      <c r="I2" s="632"/>
    </row>
    <row r="3" spans="2:9">
      <c r="B3" s="630" t="s">
        <v>234</v>
      </c>
      <c r="C3" s="631"/>
      <c r="D3" s="631"/>
      <c r="E3" s="631"/>
      <c r="F3" s="631"/>
      <c r="G3" s="631"/>
      <c r="H3" s="631"/>
      <c r="I3" s="632"/>
    </row>
    <row r="4" spans="2:9">
      <c r="B4" s="630" t="s">
        <v>410</v>
      </c>
      <c r="C4" s="631"/>
      <c r="D4" s="631"/>
      <c r="E4" s="631"/>
      <c r="F4" s="631"/>
      <c r="G4" s="631"/>
      <c r="H4" s="631"/>
      <c r="I4" s="632"/>
    </row>
    <row r="5" spans="2:9">
      <c r="B5" s="633" t="s">
        <v>1020</v>
      </c>
      <c r="C5" s="634"/>
      <c r="D5" s="634"/>
      <c r="E5" s="634"/>
      <c r="F5" s="634"/>
      <c r="G5" s="634"/>
      <c r="H5" s="634"/>
      <c r="I5" s="635"/>
    </row>
    <row r="6" spans="2:9" s="114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650" t="s">
        <v>76</v>
      </c>
      <c r="C7" s="650"/>
      <c r="D7" s="651" t="s">
        <v>236</v>
      </c>
      <c r="E7" s="651"/>
      <c r="F7" s="651"/>
      <c r="G7" s="651"/>
      <c r="H7" s="651"/>
      <c r="I7" s="651" t="s">
        <v>237</v>
      </c>
    </row>
    <row r="8" spans="2:9" ht="22.5">
      <c r="B8" s="650"/>
      <c r="C8" s="650"/>
      <c r="D8" s="115" t="s">
        <v>238</v>
      </c>
      <c r="E8" s="115" t="s">
        <v>239</v>
      </c>
      <c r="F8" s="115" t="s">
        <v>212</v>
      </c>
      <c r="G8" s="115" t="s">
        <v>213</v>
      </c>
      <c r="H8" s="115" t="s">
        <v>240</v>
      </c>
      <c r="I8" s="651"/>
    </row>
    <row r="9" spans="2:9" ht="11.25" customHeight="1">
      <c r="B9" s="650"/>
      <c r="C9" s="650"/>
      <c r="D9" s="115">
        <v>1</v>
      </c>
      <c r="E9" s="115">
        <v>2</v>
      </c>
      <c r="F9" s="115" t="s">
        <v>241</v>
      </c>
      <c r="G9" s="115">
        <v>4</v>
      </c>
      <c r="H9" s="115">
        <v>5</v>
      </c>
      <c r="I9" s="115" t="s">
        <v>242</v>
      </c>
    </row>
    <row r="10" spans="2:9">
      <c r="B10" s="652" t="s">
        <v>181</v>
      </c>
      <c r="C10" s="653"/>
      <c r="D10" s="518">
        <f>SUM(D11:D17)</f>
        <v>1070000</v>
      </c>
      <c r="E10" s="518">
        <f>SUM(E11:E17)</f>
        <v>0</v>
      </c>
      <c r="F10" s="518">
        <f>+D10+E10</f>
        <v>1070000</v>
      </c>
      <c r="G10" s="518">
        <f t="shared" ref="G10:H10" si="0">SUM(G11:G17)</f>
        <v>228508</v>
      </c>
      <c r="H10" s="518">
        <f t="shared" si="0"/>
        <v>228508</v>
      </c>
      <c r="I10" s="518">
        <f>+F10-G10</f>
        <v>841492</v>
      </c>
    </row>
    <row r="11" spans="2:9">
      <c r="B11" s="139"/>
      <c r="C11" s="140" t="s">
        <v>249</v>
      </c>
      <c r="D11" s="519">
        <v>899500</v>
      </c>
      <c r="E11" s="519">
        <v>0</v>
      </c>
      <c r="F11" s="519">
        <f t="shared" ref="F11:F74" si="1">+D11+E11</f>
        <v>899500</v>
      </c>
      <c r="G11" s="519">
        <v>224683</v>
      </c>
      <c r="H11" s="519">
        <v>224683</v>
      </c>
      <c r="I11" s="519">
        <f t="shared" ref="I11:I74" si="2">+F11-G11</f>
        <v>674817</v>
      </c>
    </row>
    <row r="12" spans="2:9">
      <c r="B12" s="139"/>
      <c r="C12" s="140" t="s">
        <v>250</v>
      </c>
      <c r="D12" s="519">
        <v>0</v>
      </c>
      <c r="E12" s="519">
        <v>0</v>
      </c>
      <c r="F12" s="519">
        <v>0</v>
      </c>
      <c r="G12" s="519">
        <v>0</v>
      </c>
      <c r="H12" s="519">
        <v>0</v>
      </c>
      <c r="I12" s="519">
        <f t="shared" si="2"/>
        <v>0</v>
      </c>
    </row>
    <row r="13" spans="2:9">
      <c r="B13" s="139"/>
      <c r="C13" s="140" t="s">
        <v>251</v>
      </c>
      <c r="D13" s="519">
        <v>145000</v>
      </c>
      <c r="E13" s="519">
        <v>0</v>
      </c>
      <c r="F13" s="519">
        <f t="shared" si="1"/>
        <v>145000</v>
      </c>
      <c r="G13" s="519">
        <v>0</v>
      </c>
      <c r="H13" s="519">
        <v>0</v>
      </c>
      <c r="I13" s="519">
        <f t="shared" si="2"/>
        <v>145000</v>
      </c>
    </row>
    <row r="14" spans="2:9">
      <c r="B14" s="139"/>
      <c r="C14" s="140" t="s">
        <v>252</v>
      </c>
      <c r="D14" s="519">
        <v>0</v>
      </c>
      <c r="E14" s="519">
        <v>0</v>
      </c>
      <c r="F14" s="519">
        <f t="shared" si="1"/>
        <v>0</v>
      </c>
      <c r="G14" s="519">
        <v>0</v>
      </c>
      <c r="H14" s="519">
        <v>0</v>
      </c>
      <c r="I14" s="519">
        <f t="shared" si="2"/>
        <v>0</v>
      </c>
    </row>
    <row r="15" spans="2:9">
      <c r="B15" s="139"/>
      <c r="C15" s="140" t="s">
        <v>253</v>
      </c>
      <c r="D15" s="519">
        <v>25500</v>
      </c>
      <c r="E15" s="519">
        <v>0</v>
      </c>
      <c r="F15" s="519">
        <f t="shared" si="1"/>
        <v>25500</v>
      </c>
      <c r="G15" s="519">
        <v>3825</v>
      </c>
      <c r="H15" s="519">
        <v>3825</v>
      </c>
      <c r="I15" s="519">
        <f t="shared" si="2"/>
        <v>21675</v>
      </c>
    </row>
    <row r="16" spans="2:9">
      <c r="B16" s="139"/>
      <c r="C16" s="140" t="s">
        <v>254</v>
      </c>
      <c r="D16" s="519">
        <v>0</v>
      </c>
      <c r="E16" s="519">
        <v>0</v>
      </c>
      <c r="F16" s="519">
        <f t="shared" si="1"/>
        <v>0</v>
      </c>
      <c r="G16" s="519">
        <v>0</v>
      </c>
      <c r="H16" s="519">
        <v>0</v>
      </c>
      <c r="I16" s="519">
        <f t="shared" si="2"/>
        <v>0</v>
      </c>
    </row>
    <row r="17" spans="2:9">
      <c r="B17" s="139"/>
      <c r="C17" s="140" t="s">
        <v>255</v>
      </c>
      <c r="D17" s="519">
        <v>0</v>
      </c>
      <c r="E17" s="519">
        <v>0</v>
      </c>
      <c r="F17" s="519">
        <v>0</v>
      </c>
      <c r="G17" s="519">
        <v>0</v>
      </c>
      <c r="H17" s="519">
        <v>0</v>
      </c>
      <c r="I17" s="519">
        <f t="shared" si="2"/>
        <v>0</v>
      </c>
    </row>
    <row r="18" spans="2:9">
      <c r="B18" s="652" t="s">
        <v>89</v>
      </c>
      <c r="C18" s="653"/>
      <c r="D18" s="518">
        <f>SUM(D19:D27)</f>
        <v>591000</v>
      </c>
      <c r="E18" s="518">
        <f>SUM(E19:E27)</f>
        <v>0</v>
      </c>
      <c r="F18" s="518">
        <f t="shared" si="1"/>
        <v>591000</v>
      </c>
      <c r="G18" s="518">
        <f t="shared" ref="G18:H18" si="3">SUM(G19:G27)</f>
        <v>137446</v>
      </c>
      <c r="H18" s="518">
        <f t="shared" si="3"/>
        <v>137446</v>
      </c>
      <c r="I18" s="518">
        <f t="shared" si="2"/>
        <v>453554</v>
      </c>
    </row>
    <row r="19" spans="2:9">
      <c r="B19" s="139"/>
      <c r="C19" s="140" t="s">
        <v>256</v>
      </c>
      <c r="D19" s="519">
        <v>86000</v>
      </c>
      <c r="E19" s="519">
        <v>0</v>
      </c>
      <c r="F19" s="519">
        <f t="shared" si="1"/>
        <v>86000</v>
      </c>
      <c r="G19" s="519">
        <v>15945</v>
      </c>
      <c r="H19" s="519">
        <v>15945</v>
      </c>
      <c r="I19" s="519">
        <f t="shared" si="2"/>
        <v>70055</v>
      </c>
    </row>
    <row r="20" spans="2:9">
      <c r="B20" s="139"/>
      <c r="C20" s="140" t="s">
        <v>257</v>
      </c>
      <c r="D20" s="519">
        <v>341000</v>
      </c>
      <c r="E20" s="519">
        <v>0</v>
      </c>
      <c r="F20" s="519">
        <f t="shared" si="1"/>
        <v>341000</v>
      </c>
      <c r="G20" s="519">
        <v>73187</v>
      </c>
      <c r="H20" s="519">
        <v>73187</v>
      </c>
      <c r="I20" s="519">
        <f t="shared" si="2"/>
        <v>267813</v>
      </c>
    </row>
    <row r="21" spans="2:9">
      <c r="B21" s="139"/>
      <c r="C21" s="140" t="s">
        <v>258</v>
      </c>
      <c r="D21" s="519">
        <v>0</v>
      </c>
      <c r="E21" s="519">
        <v>0</v>
      </c>
      <c r="F21" s="519">
        <f t="shared" si="1"/>
        <v>0</v>
      </c>
      <c r="G21" s="519">
        <v>0</v>
      </c>
      <c r="H21" s="519">
        <v>0</v>
      </c>
      <c r="I21" s="519">
        <f t="shared" si="2"/>
        <v>0</v>
      </c>
    </row>
    <row r="22" spans="2:9">
      <c r="B22" s="139"/>
      <c r="C22" s="140" t="s">
        <v>259</v>
      </c>
      <c r="D22" s="519">
        <v>13000</v>
      </c>
      <c r="E22" s="519">
        <v>0</v>
      </c>
      <c r="F22" s="519">
        <f t="shared" si="1"/>
        <v>13000</v>
      </c>
      <c r="G22" s="519">
        <v>5994</v>
      </c>
      <c r="H22" s="519">
        <v>5994</v>
      </c>
      <c r="I22" s="519">
        <f t="shared" si="2"/>
        <v>7006</v>
      </c>
    </row>
    <row r="23" spans="2:9">
      <c r="B23" s="139"/>
      <c r="C23" s="140" t="s">
        <v>260</v>
      </c>
      <c r="D23" s="519">
        <v>500</v>
      </c>
      <c r="E23" s="519">
        <v>0</v>
      </c>
      <c r="F23" s="519">
        <f t="shared" si="1"/>
        <v>500</v>
      </c>
      <c r="G23" s="519">
        <v>400</v>
      </c>
      <c r="H23" s="519">
        <v>400</v>
      </c>
      <c r="I23" s="519">
        <f t="shared" si="2"/>
        <v>100</v>
      </c>
    </row>
    <row r="24" spans="2:9">
      <c r="B24" s="139"/>
      <c r="C24" s="140" t="s">
        <v>261</v>
      </c>
      <c r="D24" s="519">
        <v>138000</v>
      </c>
      <c r="E24" s="519">
        <v>0</v>
      </c>
      <c r="F24" s="519">
        <f t="shared" si="1"/>
        <v>138000</v>
      </c>
      <c r="G24" s="519">
        <v>34000</v>
      </c>
      <c r="H24" s="519">
        <v>34000</v>
      </c>
      <c r="I24" s="519">
        <f t="shared" si="2"/>
        <v>104000</v>
      </c>
    </row>
    <row r="25" spans="2:9">
      <c r="B25" s="139"/>
      <c r="C25" s="140" t="s">
        <v>262</v>
      </c>
      <c r="D25" s="519">
        <v>8000</v>
      </c>
      <c r="E25" s="519">
        <v>0</v>
      </c>
      <c r="F25" s="519">
        <f t="shared" si="1"/>
        <v>8000</v>
      </c>
      <c r="G25" s="519">
        <v>7920</v>
      </c>
      <c r="H25" s="519">
        <v>7920</v>
      </c>
      <c r="I25" s="519">
        <f t="shared" si="2"/>
        <v>80</v>
      </c>
    </row>
    <row r="26" spans="2:9">
      <c r="B26" s="139"/>
      <c r="C26" s="140" t="s">
        <v>263</v>
      </c>
      <c r="D26" s="519">
        <v>0</v>
      </c>
      <c r="E26" s="519">
        <v>0</v>
      </c>
      <c r="F26" s="519">
        <f t="shared" si="1"/>
        <v>0</v>
      </c>
      <c r="G26" s="519">
        <v>0</v>
      </c>
      <c r="H26" s="519">
        <v>0</v>
      </c>
      <c r="I26" s="519">
        <f t="shared" si="2"/>
        <v>0</v>
      </c>
    </row>
    <row r="27" spans="2:9">
      <c r="B27" s="139"/>
      <c r="C27" s="140" t="s">
        <v>264</v>
      </c>
      <c r="D27" s="519">
        <v>4500</v>
      </c>
      <c r="E27" s="519">
        <v>0</v>
      </c>
      <c r="F27" s="519">
        <f t="shared" si="1"/>
        <v>4500</v>
      </c>
      <c r="G27" s="519">
        <v>0</v>
      </c>
      <c r="H27" s="519">
        <v>0</v>
      </c>
      <c r="I27" s="519">
        <f t="shared" si="2"/>
        <v>4500</v>
      </c>
    </row>
    <row r="28" spans="2:9">
      <c r="B28" s="652" t="s">
        <v>91</v>
      </c>
      <c r="C28" s="653"/>
      <c r="D28" s="518">
        <f>SUM(D29:D37)</f>
        <v>273000</v>
      </c>
      <c r="E28" s="518">
        <f t="shared" ref="E28" si="4">SUM(E29:E37)</f>
        <v>0</v>
      </c>
      <c r="F28" s="518">
        <f t="shared" si="1"/>
        <v>273000</v>
      </c>
      <c r="G28" s="518">
        <f t="shared" ref="G28" si="5">SUM(G29:G37)</f>
        <v>62084</v>
      </c>
      <c r="H28" s="518">
        <f t="shared" ref="H28" si="6">SUM(H29:H37)</f>
        <v>62084</v>
      </c>
      <c r="I28" s="518">
        <f t="shared" si="2"/>
        <v>210916</v>
      </c>
    </row>
    <row r="29" spans="2:9">
      <c r="B29" s="139"/>
      <c r="C29" s="140" t="s">
        <v>265</v>
      </c>
      <c r="D29" s="519">
        <v>157500</v>
      </c>
      <c r="E29" s="519">
        <v>0</v>
      </c>
      <c r="F29" s="519">
        <f t="shared" si="1"/>
        <v>157500</v>
      </c>
      <c r="G29" s="519">
        <v>42048</v>
      </c>
      <c r="H29" s="519">
        <v>42048</v>
      </c>
      <c r="I29" s="519">
        <f t="shared" si="2"/>
        <v>115452</v>
      </c>
    </row>
    <row r="30" spans="2:9">
      <c r="B30" s="139"/>
      <c r="C30" s="140" t="s">
        <v>266</v>
      </c>
      <c r="D30" s="519">
        <v>0</v>
      </c>
      <c r="E30" s="519">
        <v>0</v>
      </c>
      <c r="F30" s="519">
        <f t="shared" si="1"/>
        <v>0</v>
      </c>
      <c r="G30" s="519">
        <v>0</v>
      </c>
      <c r="H30" s="519">
        <v>0</v>
      </c>
      <c r="I30" s="519">
        <f t="shared" si="2"/>
        <v>0</v>
      </c>
    </row>
    <row r="31" spans="2:9">
      <c r="B31" s="139"/>
      <c r="C31" s="140" t="s">
        <v>267</v>
      </c>
      <c r="D31" s="519">
        <v>11000</v>
      </c>
      <c r="E31" s="519">
        <v>0</v>
      </c>
      <c r="F31" s="519">
        <f t="shared" si="1"/>
        <v>11000</v>
      </c>
      <c r="G31" s="519">
        <v>0</v>
      </c>
      <c r="H31" s="519">
        <v>0</v>
      </c>
      <c r="I31" s="519">
        <f t="shared" si="2"/>
        <v>11000</v>
      </c>
    </row>
    <row r="32" spans="2:9">
      <c r="B32" s="139"/>
      <c r="C32" s="140" t="s">
        <v>268</v>
      </c>
      <c r="D32" s="519">
        <v>35000</v>
      </c>
      <c r="E32" s="519">
        <v>0</v>
      </c>
      <c r="F32" s="519">
        <f t="shared" si="1"/>
        <v>35000</v>
      </c>
      <c r="G32" s="519">
        <v>0</v>
      </c>
      <c r="H32" s="519">
        <v>0</v>
      </c>
      <c r="I32" s="519">
        <f t="shared" si="2"/>
        <v>35000</v>
      </c>
    </row>
    <row r="33" spans="2:9">
      <c r="B33" s="139"/>
      <c r="C33" s="140" t="s">
        <v>269</v>
      </c>
      <c r="D33" s="519">
        <v>42000</v>
      </c>
      <c r="E33" s="519">
        <v>0</v>
      </c>
      <c r="F33" s="519">
        <f t="shared" si="1"/>
        <v>42000</v>
      </c>
      <c r="G33" s="519">
        <v>9953</v>
      </c>
      <c r="H33" s="519">
        <v>9953</v>
      </c>
      <c r="I33" s="519">
        <f t="shared" si="2"/>
        <v>32047</v>
      </c>
    </row>
    <row r="34" spans="2:9">
      <c r="B34" s="139"/>
      <c r="C34" s="140" t="s">
        <v>270</v>
      </c>
      <c r="D34" s="519">
        <v>0</v>
      </c>
      <c r="E34" s="519">
        <v>0</v>
      </c>
      <c r="F34" s="519">
        <f t="shared" si="1"/>
        <v>0</v>
      </c>
      <c r="G34" s="519">
        <v>0</v>
      </c>
      <c r="H34" s="519">
        <v>0</v>
      </c>
      <c r="I34" s="519">
        <f t="shared" si="2"/>
        <v>0</v>
      </c>
    </row>
    <row r="35" spans="2:9">
      <c r="B35" s="139"/>
      <c r="C35" s="140" t="s">
        <v>271</v>
      </c>
      <c r="D35" s="519">
        <v>20500</v>
      </c>
      <c r="E35" s="519">
        <v>0</v>
      </c>
      <c r="F35" s="519">
        <f t="shared" si="1"/>
        <v>20500</v>
      </c>
      <c r="G35" s="519">
        <v>7198</v>
      </c>
      <c r="H35" s="519">
        <v>7198</v>
      </c>
      <c r="I35" s="519">
        <f t="shared" si="2"/>
        <v>13302</v>
      </c>
    </row>
    <row r="36" spans="2:9">
      <c r="B36" s="139"/>
      <c r="C36" s="140" t="s">
        <v>272</v>
      </c>
      <c r="D36" s="519">
        <v>0</v>
      </c>
      <c r="E36" s="519">
        <v>0</v>
      </c>
      <c r="F36" s="519">
        <f t="shared" si="1"/>
        <v>0</v>
      </c>
      <c r="G36" s="519">
        <v>0</v>
      </c>
      <c r="H36" s="519">
        <v>0</v>
      </c>
      <c r="I36" s="519">
        <f t="shared" si="2"/>
        <v>0</v>
      </c>
    </row>
    <row r="37" spans="2:9">
      <c r="B37" s="139"/>
      <c r="C37" s="140" t="s">
        <v>273</v>
      </c>
      <c r="D37" s="519">
        <v>7000</v>
      </c>
      <c r="E37" s="519">
        <v>0</v>
      </c>
      <c r="F37" s="519">
        <f t="shared" si="1"/>
        <v>7000</v>
      </c>
      <c r="G37" s="519">
        <v>2885</v>
      </c>
      <c r="H37" s="519">
        <v>2885</v>
      </c>
      <c r="I37" s="519">
        <f t="shared" si="2"/>
        <v>4115</v>
      </c>
    </row>
    <row r="38" spans="2:9">
      <c r="B38" s="652" t="s">
        <v>225</v>
      </c>
      <c r="C38" s="653"/>
      <c r="D38" s="518">
        <f>SUM(D39:D47)</f>
        <v>559000</v>
      </c>
      <c r="E38" s="519">
        <v>0</v>
      </c>
      <c r="F38" s="518">
        <f t="shared" si="1"/>
        <v>559000</v>
      </c>
      <c r="G38" s="518">
        <f t="shared" ref="G38:H38" si="7">SUM(G39:G47)</f>
        <v>0</v>
      </c>
      <c r="H38" s="518">
        <f t="shared" si="7"/>
        <v>0</v>
      </c>
      <c r="I38" s="518">
        <f t="shared" si="2"/>
        <v>559000</v>
      </c>
    </row>
    <row r="39" spans="2:9">
      <c r="B39" s="139"/>
      <c r="C39" s="140" t="s">
        <v>95</v>
      </c>
      <c r="D39" s="519">
        <v>0</v>
      </c>
      <c r="E39" s="519">
        <v>0</v>
      </c>
      <c r="F39" s="519">
        <f t="shared" si="1"/>
        <v>0</v>
      </c>
      <c r="G39" s="519">
        <v>0</v>
      </c>
      <c r="H39" s="519">
        <v>0</v>
      </c>
      <c r="I39" s="519">
        <f t="shared" si="2"/>
        <v>0</v>
      </c>
    </row>
    <row r="40" spans="2:9">
      <c r="B40" s="139"/>
      <c r="C40" s="140" t="s">
        <v>97</v>
      </c>
      <c r="D40" s="519">
        <v>0</v>
      </c>
      <c r="E40" s="519">
        <v>0</v>
      </c>
      <c r="F40" s="519">
        <f t="shared" si="1"/>
        <v>0</v>
      </c>
      <c r="G40" s="519">
        <v>0</v>
      </c>
      <c r="H40" s="519">
        <v>0</v>
      </c>
      <c r="I40" s="519">
        <f t="shared" si="2"/>
        <v>0</v>
      </c>
    </row>
    <row r="41" spans="2:9">
      <c r="B41" s="139"/>
      <c r="C41" s="140" t="s">
        <v>99</v>
      </c>
      <c r="D41" s="519">
        <v>0</v>
      </c>
      <c r="E41" s="519">
        <v>0</v>
      </c>
      <c r="F41" s="519">
        <f t="shared" si="1"/>
        <v>0</v>
      </c>
      <c r="G41" s="519">
        <v>0</v>
      </c>
      <c r="H41" s="519">
        <v>0</v>
      </c>
      <c r="I41" s="519">
        <f t="shared" si="2"/>
        <v>0</v>
      </c>
    </row>
    <row r="42" spans="2:9">
      <c r="B42" s="139"/>
      <c r="C42" s="140" t="s">
        <v>100</v>
      </c>
      <c r="D42" s="519">
        <v>559000</v>
      </c>
      <c r="E42" s="519">
        <v>0</v>
      </c>
      <c r="F42" s="519">
        <f t="shared" si="1"/>
        <v>559000</v>
      </c>
      <c r="G42" s="519">
        <v>0</v>
      </c>
      <c r="H42" s="519">
        <v>0</v>
      </c>
      <c r="I42" s="519">
        <f t="shared" si="2"/>
        <v>559000</v>
      </c>
    </row>
    <row r="43" spans="2:9">
      <c r="B43" s="139"/>
      <c r="C43" s="140" t="s">
        <v>102</v>
      </c>
      <c r="D43" s="519">
        <v>0</v>
      </c>
      <c r="E43" s="519">
        <v>0</v>
      </c>
      <c r="F43" s="519">
        <f t="shared" si="1"/>
        <v>0</v>
      </c>
      <c r="G43" s="519">
        <v>0</v>
      </c>
      <c r="H43" s="519">
        <v>0</v>
      </c>
      <c r="I43" s="519">
        <f t="shared" si="2"/>
        <v>0</v>
      </c>
    </row>
    <row r="44" spans="2:9">
      <c r="B44" s="139"/>
      <c r="C44" s="140" t="s">
        <v>274</v>
      </c>
      <c r="D44" s="519">
        <v>0</v>
      </c>
      <c r="E44" s="519">
        <v>0</v>
      </c>
      <c r="F44" s="519">
        <f t="shared" si="1"/>
        <v>0</v>
      </c>
      <c r="G44" s="519">
        <v>0</v>
      </c>
      <c r="H44" s="519">
        <v>0</v>
      </c>
      <c r="I44" s="519">
        <f t="shared" si="2"/>
        <v>0</v>
      </c>
    </row>
    <row r="45" spans="2:9">
      <c r="B45" s="139"/>
      <c r="C45" s="140" t="s">
        <v>105</v>
      </c>
      <c r="D45" s="519">
        <v>0</v>
      </c>
      <c r="E45" s="519">
        <v>0</v>
      </c>
      <c r="F45" s="519">
        <f t="shared" si="1"/>
        <v>0</v>
      </c>
      <c r="G45" s="519">
        <v>0</v>
      </c>
      <c r="H45" s="519">
        <v>0</v>
      </c>
      <c r="I45" s="519">
        <f t="shared" si="2"/>
        <v>0</v>
      </c>
    </row>
    <row r="46" spans="2:9">
      <c r="B46" s="139"/>
      <c r="C46" s="140" t="s">
        <v>106</v>
      </c>
      <c r="D46" s="519">
        <v>0</v>
      </c>
      <c r="E46" s="519">
        <v>0</v>
      </c>
      <c r="F46" s="519">
        <f t="shared" si="1"/>
        <v>0</v>
      </c>
      <c r="G46" s="519">
        <v>0</v>
      </c>
      <c r="H46" s="519">
        <v>0</v>
      </c>
      <c r="I46" s="519">
        <f t="shared" si="2"/>
        <v>0</v>
      </c>
    </row>
    <row r="47" spans="2:9">
      <c r="B47" s="139"/>
      <c r="C47" s="140" t="s">
        <v>108</v>
      </c>
      <c r="D47" s="519">
        <v>0</v>
      </c>
      <c r="E47" s="519">
        <v>0</v>
      </c>
      <c r="F47" s="519">
        <f t="shared" si="1"/>
        <v>0</v>
      </c>
      <c r="G47" s="519">
        <v>0</v>
      </c>
      <c r="H47" s="519">
        <v>0</v>
      </c>
      <c r="I47" s="519">
        <f t="shared" si="2"/>
        <v>0</v>
      </c>
    </row>
    <row r="48" spans="2:9">
      <c r="B48" s="652" t="s">
        <v>275</v>
      </c>
      <c r="C48" s="653"/>
      <c r="D48" s="518">
        <f>SUM(D49:D57)</f>
        <v>23000</v>
      </c>
      <c r="E48" s="518">
        <f>SUM(E49:E57)</f>
        <v>0</v>
      </c>
      <c r="F48" s="518">
        <f t="shared" si="1"/>
        <v>23000</v>
      </c>
      <c r="G48" s="518">
        <f t="shared" ref="G48:H48" si="8">SUM(G49:G57)</f>
        <v>9994</v>
      </c>
      <c r="H48" s="518">
        <f t="shared" si="8"/>
        <v>9994</v>
      </c>
      <c r="I48" s="518">
        <f t="shared" si="2"/>
        <v>13006</v>
      </c>
    </row>
    <row r="49" spans="2:9">
      <c r="B49" s="139"/>
      <c r="C49" s="140" t="s">
        <v>276</v>
      </c>
      <c r="D49" s="519">
        <v>23000</v>
      </c>
      <c r="E49" s="519">
        <v>0</v>
      </c>
      <c r="F49" s="519">
        <f t="shared" si="1"/>
        <v>23000</v>
      </c>
      <c r="G49" s="519">
        <v>9994</v>
      </c>
      <c r="H49" s="519">
        <v>9994</v>
      </c>
      <c r="I49" s="519">
        <f t="shared" si="2"/>
        <v>13006</v>
      </c>
    </row>
    <row r="50" spans="2:9">
      <c r="B50" s="139"/>
      <c r="C50" s="140" t="s">
        <v>277</v>
      </c>
      <c r="D50" s="519">
        <v>0</v>
      </c>
      <c r="E50" s="519">
        <v>0</v>
      </c>
      <c r="F50" s="519">
        <f t="shared" si="1"/>
        <v>0</v>
      </c>
      <c r="G50" s="519">
        <v>0</v>
      </c>
      <c r="H50" s="519">
        <v>0</v>
      </c>
      <c r="I50" s="519">
        <f t="shared" si="2"/>
        <v>0</v>
      </c>
    </row>
    <row r="51" spans="2:9">
      <c r="B51" s="139"/>
      <c r="C51" s="140" t="s">
        <v>278</v>
      </c>
      <c r="D51" s="519">
        <v>0</v>
      </c>
      <c r="E51" s="519">
        <v>0</v>
      </c>
      <c r="F51" s="519">
        <f t="shared" si="1"/>
        <v>0</v>
      </c>
      <c r="G51" s="519">
        <v>0</v>
      </c>
      <c r="H51" s="519">
        <v>0</v>
      </c>
      <c r="I51" s="519">
        <f t="shared" si="2"/>
        <v>0</v>
      </c>
    </row>
    <row r="52" spans="2:9">
      <c r="B52" s="139"/>
      <c r="C52" s="140" t="s">
        <v>279</v>
      </c>
      <c r="D52" s="519">
        <v>0</v>
      </c>
      <c r="E52" s="519">
        <v>0</v>
      </c>
      <c r="F52" s="519">
        <f t="shared" si="1"/>
        <v>0</v>
      </c>
      <c r="G52" s="519">
        <v>0</v>
      </c>
      <c r="H52" s="519">
        <v>0</v>
      </c>
      <c r="I52" s="519">
        <f t="shared" si="2"/>
        <v>0</v>
      </c>
    </row>
    <row r="53" spans="2:9">
      <c r="B53" s="139"/>
      <c r="C53" s="140" t="s">
        <v>280</v>
      </c>
      <c r="D53" s="519">
        <v>0</v>
      </c>
      <c r="E53" s="519">
        <v>0</v>
      </c>
      <c r="F53" s="519">
        <f t="shared" si="1"/>
        <v>0</v>
      </c>
      <c r="G53" s="519">
        <v>0</v>
      </c>
      <c r="H53" s="519">
        <v>0</v>
      </c>
      <c r="I53" s="519">
        <f t="shared" si="2"/>
        <v>0</v>
      </c>
    </row>
    <row r="54" spans="2:9">
      <c r="B54" s="139"/>
      <c r="C54" s="140" t="s">
        <v>281</v>
      </c>
      <c r="D54" s="519">
        <v>0</v>
      </c>
      <c r="E54" s="519">
        <v>0</v>
      </c>
      <c r="F54" s="519">
        <f t="shared" si="1"/>
        <v>0</v>
      </c>
      <c r="G54" s="519">
        <v>0</v>
      </c>
      <c r="H54" s="519">
        <v>0</v>
      </c>
      <c r="I54" s="519">
        <f t="shared" si="2"/>
        <v>0</v>
      </c>
    </row>
    <row r="55" spans="2:9">
      <c r="B55" s="139"/>
      <c r="C55" s="140" t="s">
        <v>282</v>
      </c>
      <c r="D55" s="519">
        <v>0</v>
      </c>
      <c r="E55" s="519">
        <v>0</v>
      </c>
      <c r="F55" s="519">
        <f t="shared" si="1"/>
        <v>0</v>
      </c>
      <c r="G55" s="519">
        <v>0</v>
      </c>
      <c r="H55" s="519">
        <v>0</v>
      </c>
      <c r="I55" s="519">
        <f t="shared" si="2"/>
        <v>0</v>
      </c>
    </row>
    <row r="56" spans="2:9">
      <c r="B56" s="139"/>
      <c r="C56" s="140" t="s">
        <v>283</v>
      </c>
      <c r="D56" s="519">
        <v>0</v>
      </c>
      <c r="E56" s="519">
        <v>0</v>
      </c>
      <c r="F56" s="519">
        <f t="shared" si="1"/>
        <v>0</v>
      </c>
      <c r="G56" s="519">
        <v>0</v>
      </c>
      <c r="H56" s="519">
        <v>0</v>
      </c>
      <c r="I56" s="519">
        <f t="shared" si="2"/>
        <v>0</v>
      </c>
    </row>
    <row r="57" spans="2:9">
      <c r="B57" s="139"/>
      <c r="C57" s="140" t="s">
        <v>37</v>
      </c>
      <c r="D57" s="519">
        <v>0</v>
      </c>
      <c r="E57" s="519">
        <v>0</v>
      </c>
      <c r="F57" s="519">
        <f t="shared" si="1"/>
        <v>0</v>
      </c>
      <c r="G57" s="519">
        <v>0</v>
      </c>
      <c r="H57" s="519">
        <v>0</v>
      </c>
      <c r="I57" s="519">
        <f t="shared" si="2"/>
        <v>0</v>
      </c>
    </row>
    <row r="58" spans="2:9">
      <c r="B58" s="652" t="s">
        <v>129</v>
      </c>
      <c r="C58" s="653"/>
      <c r="D58" s="518">
        <f>SUM(D59:D61)</f>
        <v>0</v>
      </c>
      <c r="E58" s="519">
        <v>0</v>
      </c>
      <c r="F58" s="518">
        <f t="shared" si="1"/>
        <v>0</v>
      </c>
      <c r="G58" s="518">
        <f t="shared" ref="G58:H58" si="9">SUM(G59:G61)</f>
        <v>0</v>
      </c>
      <c r="H58" s="518">
        <f t="shared" si="9"/>
        <v>0</v>
      </c>
      <c r="I58" s="518">
        <f t="shared" si="2"/>
        <v>0</v>
      </c>
    </row>
    <row r="59" spans="2:9">
      <c r="B59" s="139"/>
      <c r="C59" s="140" t="s">
        <v>284</v>
      </c>
      <c r="D59" s="519">
        <v>0</v>
      </c>
      <c r="E59" s="519">
        <v>0</v>
      </c>
      <c r="F59" s="519">
        <f t="shared" si="1"/>
        <v>0</v>
      </c>
      <c r="G59" s="519">
        <v>0</v>
      </c>
      <c r="H59" s="519">
        <v>0</v>
      </c>
      <c r="I59" s="519">
        <f t="shared" si="2"/>
        <v>0</v>
      </c>
    </row>
    <row r="60" spans="2:9">
      <c r="B60" s="139"/>
      <c r="C60" s="140" t="s">
        <v>285</v>
      </c>
      <c r="D60" s="519">
        <v>0</v>
      </c>
      <c r="E60" s="519">
        <v>0</v>
      </c>
      <c r="F60" s="519">
        <f t="shared" si="1"/>
        <v>0</v>
      </c>
      <c r="G60" s="519">
        <v>0</v>
      </c>
      <c r="H60" s="519">
        <v>0</v>
      </c>
      <c r="I60" s="519">
        <f t="shared" si="2"/>
        <v>0</v>
      </c>
    </row>
    <row r="61" spans="2:9">
      <c r="B61" s="139"/>
      <c r="C61" s="140" t="s">
        <v>286</v>
      </c>
      <c r="D61" s="519">
        <v>0</v>
      </c>
      <c r="E61" s="519">
        <v>0</v>
      </c>
      <c r="F61" s="519">
        <f t="shared" si="1"/>
        <v>0</v>
      </c>
      <c r="G61" s="519">
        <v>0</v>
      </c>
      <c r="H61" s="519">
        <v>0</v>
      </c>
      <c r="I61" s="519">
        <f t="shared" si="2"/>
        <v>0</v>
      </c>
    </row>
    <row r="62" spans="2:9">
      <c r="B62" s="652" t="s">
        <v>287</v>
      </c>
      <c r="C62" s="653"/>
      <c r="D62" s="518">
        <f>SUM(D63:D69)</f>
        <v>0</v>
      </c>
      <c r="E62" s="518">
        <f>SUM(E63:E69)</f>
        <v>0</v>
      </c>
      <c r="F62" s="518">
        <f t="shared" si="1"/>
        <v>0</v>
      </c>
      <c r="G62" s="518">
        <f t="shared" ref="G62:H62" si="10">SUM(G63:G69)</f>
        <v>0</v>
      </c>
      <c r="H62" s="518">
        <f t="shared" si="10"/>
        <v>0</v>
      </c>
      <c r="I62" s="518">
        <f t="shared" si="2"/>
        <v>0</v>
      </c>
    </row>
    <row r="63" spans="2:9">
      <c r="B63" s="139"/>
      <c r="C63" s="140" t="s">
        <v>288</v>
      </c>
      <c r="D63" s="519">
        <v>0</v>
      </c>
      <c r="E63" s="519">
        <v>0</v>
      </c>
      <c r="F63" s="519">
        <f t="shared" si="1"/>
        <v>0</v>
      </c>
      <c r="G63" s="519">
        <v>0</v>
      </c>
      <c r="H63" s="519">
        <v>0</v>
      </c>
      <c r="I63" s="519">
        <f t="shared" si="2"/>
        <v>0</v>
      </c>
    </row>
    <row r="64" spans="2:9">
      <c r="B64" s="139"/>
      <c r="C64" s="140" t="s">
        <v>289</v>
      </c>
      <c r="D64" s="519">
        <v>0</v>
      </c>
      <c r="E64" s="519">
        <v>0</v>
      </c>
      <c r="F64" s="519">
        <f t="shared" si="1"/>
        <v>0</v>
      </c>
      <c r="G64" s="519">
        <v>0</v>
      </c>
      <c r="H64" s="519">
        <v>0</v>
      </c>
      <c r="I64" s="519">
        <f t="shared" si="2"/>
        <v>0</v>
      </c>
    </row>
    <row r="65" spans="2:9">
      <c r="B65" s="139"/>
      <c r="C65" s="140" t="s">
        <v>290</v>
      </c>
      <c r="D65" s="519">
        <v>0</v>
      </c>
      <c r="E65" s="519">
        <v>0</v>
      </c>
      <c r="F65" s="519">
        <f t="shared" si="1"/>
        <v>0</v>
      </c>
      <c r="G65" s="519">
        <v>0</v>
      </c>
      <c r="H65" s="519">
        <v>0</v>
      </c>
      <c r="I65" s="519">
        <f t="shared" si="2"/>
        <v>0</v>
      </c>
    </row>
    <row r="66" spans="2:9">
      <c r="B66" s="139"/>
      <c r="C66" s="140" t="s">
        <v>291</v>
      </c>
      <c r="D66" s="519">
        <v>0</v>
      </c>
      <c r="E66" s="519">
        <v>0</v>
      </c>
      <c r="F66" s="519">
        <f t="shared" si="1"/>
        <v>0</v>
      </c>
      <c r="G66" s="519">
        <v>0</v>
      </c>
      <c r="H66" s="519">
        <v>0</v>
      </c>
      <c r="I66" s="519">
        <f t="shared" si="2"/>
        <v>0</v>
      </c>
    </row>
    <row r="67" spans="2:9">
      <c r="B67" s="139"/>
      <c r="C67" s="140" t="s">
        <v>292</v>
      </c>
      <c r="D67" s="519">
        <v>0</v>
      </c>
      <c r="E67" s="519">
        <v>0</v>
      </c>
      <c r="F67" s="519">
        <f t="shared" si="1"/>
        <v>0</v>
      </c>
      <c r="G67" s="519">
        <v>0</v>
      </c>
      <c r="H67" s="519">
        <v>0</v>
      </c>
      <c r="I67" s="519">
        <f t="shared" si="2"/>
        <v>0</v>
      </c>
    </row>
    <row r="68" spans="2:9">
      <c r="B68" s="139"/>
      <c r="C68" s="140" t="s">
        <v>293</v>
      </c>
      <c r="D68" s="519">
        <v>0</v>
      </c>
      <c r="E68" s="519">
        <v>0</v>
      </c>
      <c r="F68" s="519">
        <f t="shared" si="1"/>
        <v>0</v>
      </c>
      <c r="G68" s="519">
        <v>0</v>
      </c>
      <c r="H68" s="519">
        <v>0</v>
      </c>
      <c r="I68" s="519">
        <f t="shared" si="2"/>
        <v>0</v>
      </c>
    </row>
    <row r="69" spans="2:9">
      <c r="B69" s="139"/>
      <c r="C69" s="140" t="s">
        <v>294</v>
      </c>
      <c r="D69" s="519">
        <v>0</v>
      </c>
      <c r="E69" s="519">
        <v>0</v>
      </c>
      <c r="F69" s="519">
        <f t="shared" si="1"/>
        <v>0</v>
      </c>
      <c r="G69" s="519">
        <v>0</v>
      </c>
      <c r="H69" s="519">
        <v>0</v>
      </c>
      <c r="I69" s="519">
        <f t="shared" si="2"/>
        <v>0</v>
      </c>
    </row>
    <row r="70" spans="2:9">
      <c r="B70" s="638" t="s">
        <v>103</v>
      </c>
      <c r="C70" s="639"/>
      <c r="D70" s="518">
        <f>SUM(D71:D73)</f>
        <v>0</v>
      </c>
      <c r="E70" s="518">
        <f>SUM(E71:E73)</f>
        <v>0</v>
      </c>
      <c r="F70" s="518">
        <f t="shared" si="1"/>
        <v>0</v>
      </c>
      <c r="G70" s="518">
        <f t="shared" ref="G70:H70" si="11">SUM(G71:G73)</f>
        <v>0</v>
      </c>
      <c r="H70" s="518">
        <f t="shared" si="11"/>
        <v>0</v>
      </c>
      <c r="I70" s="518">
        <f t="shared" si="2"/>
        <v>0</v>
      </c>
    </row>
    <row r="71" spans="2:9">
      <c r="B71" s="139"/>
      <c r="C71" s="140" t="s">
        <v>112</v>
      </c>
      <c r="D71" s="519">
        <v>0</v>
      </c>
      <c r="E71" s="519">
        <v>0</v>
      </c>
      <c r="F71" s="519">
        <f t="shared" si="1"/>
        <v>0</v>
      </c>
      <c r="G71" s="519">
        <v>0</v>
      </c>
      <c r="H71" s="519">
        <v>0</v>
      </c>
      <c r="I71" s="519">
        <f t="shared" si="2"/>
        <v>0</v>
      </c>
    </row>
    <row r="72" spans="2:9">
      <c r="B72" s="139"/>
      <c r="C72" s="140" t="s">
        <v>50</v>
      </c>
      <c r="D72" s="519">
        <v>0</v>
      </c>
      <c r="E72" s="519">
        <v>0</v>
      </c>
      <c r="F72" s="519">
        <f t="shared" si="1"/>
        <v>0</v>
      </c>
      <c r="G72" s="519">
        <v>0</v>
      </c>
      <c r="H72" s="519">
        <v>0</v>
      </c>
      <c r="I72" s="519">
        <f t="shared" si="2"/>
        <v>0</v>
      </c>
    </row>
    <row r="73" spans="2:9">
      <c r="B73" s="139"/>
      <c r="C73" s="140" t="s">
        <v>115</v>
      </c>
      <c r="D73" s="519">
        <v>0</v>
      </c>
      <c r="E73" s="519">
        <v>0</v>
      </c>
      <c r="F73" s="519">
        <f t="shared" si="1"/>
        <v>0</v>
      </c>
      <c r="G73" s="519">
        <v>0</v>
      </c>
      <c r="H73" s="519">
        <v>0</v>
      </c>
      <c r="I73" s="519">
        <f t="shared" si="2"/>
        <v>0</v>
      </c>
    </row>
    <row r="74" spans="2:9">
      <c r="B74" s="652" t="s">
        <v>295</v>
      </c>
      <c r="C74" s="653"/>
      <c r="D74" s="518">
        <f>SUM(D75:D81)</f>
        <v>0</v>
      </c>
      <c r="E74" s="518">
        <f t="shared" ref="E74" si="12">SUM(E75:E81)</f>
        <v>0</v>
      </c>
      <c r="F74" s="518">
        <f t="shared" si="1"/>
        <v>0</v>
      </c>
      <c r="G74" s="518">
        <f t="shared" ref="G74" si="13">SUM(G75:G81)</f>
        <v>0</v>
      </c>
      <c r="H74" s="518">
        <f t="shared" ref="H74" si="14">SUM(H75:H81)</f>
        <v>0</v>
      </c>
      <c r="I74" s="518">
        <f t="shared" si="2"/>
        <v>0</v>
      </c>
    </row>
    <row r="75" spans="2:9">
      <c r="B75" s="139"/>
      <c r="C75" s="140" t="s">
        <v>296</v>
      </c>
      <c r="D75" s="519">
        <v>0</v>
      </c>
      <c r="E75" s="519">
        <v>0</v>
      </c>
      <c r="F75" s="519">
        <f t="shared" ref="F75:F81" si="15">+D75+E75</f>
        <v>0</v>
      </c>
      <c r="G75" s="519">
        <v>0</v>
      </c>
      <c r="H75" s="519">
        <v>0</v>
      </c>
      <c r="I75" s="519">
        <f t="shared" ref="I75:I81" si="16">+F75-G75</f>
        <v>0</v>
      </c>
    </row>
    <row r="76" spans="2:9">
      <c r="B76" s="139"/>
      <c r="C76" s="140" t="s">
        <v>118</v>
      </c>
      <c r="D76" s="519">
        <v>0</v>
      </c>
      <c r="E76" s="519">
        <v>0</v>
      </c>
      <c r="F76" s="519">
        <f t="shared" si="15"/>
        <v>0</v>
      </c>
      <c r="G76" s="519">
        <v>0</v>
      </c>
      <c r="H76" s="519">
        <v>0</v>
      </c>
      <c r="I76" s="519">
        <f t="shared" si="16"/>
        <v>0</v>
      </c>
    </row>
    <row r="77" spans="2:9">
      <c r="B77" s="139"/>
      <c r="C77" s="140" t="s">
        <v>119</v>
      </c>
      <c r="D77" s="519">
        <v>0</v>
      </c>
      <c r="E77" s="519">
        <v>0</v>
      </c>
      <c r="F77" s="519">
        <f t="shared" si="15"/>
        <v>0</v>
      </c>
      <c r="G77" s="519">
        <v>0</v>
      </c>
      <c r="H77" s="519">
        <v>0</v>
      </c>
      <c r="I77" s="519">
        <f t="shared" si="16"/>
        <v>0</v>
      </c>
    </row>
    <row r="78" spans="2:9">
      <c r="B78" s="139"/>
      <c r="C78" s="140" t="s">
        <v>120</v>
      </c>
      <c r="D78" s="519">
        <v>0</v>
      </c>
      <c r="E78" s="519">
        <v>0</v>
      </c>
      <c r="F78" s="519">
        <f t="shared" si="15"/>
        <v>0</v>
      </c>
      <c r="G78" s="519">
        <v>0</v>
      </c>
      <c r="H78" s="519">
        <v>0</v>
      </c>
      <c r="I78" s="519">
        <f t="shared" si="16"/>
        <v>0</v>
      </c>
    </row>
    <row r="79" spans="2:9">
      <c r="B79" s="139"/>
      <c r="C79" s="140" t="s">
        <v>121</v>
      </c>
      <c r="D79" s="519">
        <v>0</v>
      </c>
      <c r="E79" s="519">
        <v>0</v>
      </c>
      <c r="F79" s="519">
        <f t="shared" si="15"/>
        <v>0</v>
      </c>
      <c r="G79" s="519">
        <v>0</v>
      </c>
      <c r="H79" s="519">
        <v>0</v>
      </c>
      <c r="I79" s="519">
        <f t="shared" si="16"/>
        <v>0</v>
      </c>
    </row>
    <row r="80" spans="2:9">
      <c r="B80" s="139"/>
      <c r="C80" s="140" t="s">
        <v>122</v>
      </c>
      <c r="D80" s="519">
        <v>0</v>
      </c>
      <c r="E80" s="519">
        <v>0</v>
      </c>
      <c r="F80" s="519">
        <f t="shared" si="15"/>
        <v>0</v>
      </c>
      <c r="G80" s="519">
        <v>0</v>
      </c>
      <c r="H80" s="519">
        <v>0</v>
      </c>
      <c r="I80" s="519">
        <f t="shared" si="16"/>
        <v>0</v>
      </c>
    </row>
    <row r="81" spans="1:10">
      <c r="B81" s="139"/>
      <c r="C81" s="140" t="s">
        <v>297</v>
      </c>
      <c r="D81" s="519">
        <v>0</v>
      </c>
      <c r="E81" s="519">
        <v>0</v>
      </c>
      <c r="F81" s="519">
        <f t="shared" si="15"/>
        <v>0</v>
      </c>
      <c r="G81" s="519">
        <v>0</v>
      </c>
      <c r="H81" s="519">
        <v>0</v>
      </c>
      <c r="I81" s="519">
        <f t="shared" si="16"/>
        <v>0</v>
      </c>
    </row>
    <row r="82" spans="1:10" s="127" customFormat="1">
      <c r="A82" s="124"/>
      <c r="B82" s="141"/>
      <c r="C82" s="142" t="s">
        <v>243</v>
      </c>
      <c r="D82" s="520">
        <f>+D10+D18+D28+D38+D48+D58+D62+D70+D74</f>
        <v>2516000</v>
      </c>
      <c r="E82" s="520">
        <f t="shared" ref="E82:I82" si="17">+E10+E18+E28+E38+E48+E58+E62+E70+E74</f>
        <v>0</v>
      </c>
      <c r="F82" s="520">
        <f t="shared" si="17"/>
        <v>2516000</v>
      </c>
      <c r="G82" s="520">
        <f t="shared" si="17"/>
        <v>438032</v>
      </c>
      <c r="H82" s="520">
        <f t="shared" si="17"/>
        <v>438032</v>
      </c>
      <c r="I82" s="520">
        <f t="shared" si="17"/>
        <v>2077968</v>
      </c>
      <c r="J82" s="124"/>
    </row>
    <row r="84" spans="1:10" ht="15.75">
      <c r="D84" s="138" t="str">
        <f>IF(CAdmon!D22=COG!D82," ","ERROR")</f>
        <v xml:space="preserve"> </v>
      </c>
      <c r="E84" s="138" t="str">
        <f>IF(CAdmon!E22=COG!E82," ","ERROR")</f>
        <v xml:space="preserve"> </v>
      </c>
      <c r="F84" s="138" t="str">
        <f>IF(CAdmon!F22=COG!F82," ","ERROR")</f>
        <v xml:space="preserve"> </v>
      </c>
      <c r="G84" s="138" t="str">
        <f>IF(CAdmon!G22=COG!G82," ","ERROR")</f>
        <v xml:space="preserve"> </v>
      </c>
      <c r="H84" s="138" t="str">
        <f>IF(CAdmon!H22=COG!H82," ","ERROR")</f>
        <v xml:space="preserve"> </v>
      </c>
      <c r="I84" s="138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E24" sqref="E24"/>
    </sheetView>
  </sheetViews>
  <sheetFormatPr baseColWidth="10" defaultRowHeight="15"/>
  <cols>
    <col min="1" max="1" width="2.5703125" style="114" customWidth="1"/>
    <col min="2" max="2" width="2" style="79" customWidth="1"/>
    <col min="3" max="3" width="45.85546875" style="79" customWidth="1"/>
    <col min="4" max="9" width="12.7109375" style="79" customWidth="1"/>
    <col min="10" max="10" width="4" style="114" customWidth="1"/>
  </cols>
  <sheetData>
    <row r="1" spans="2:9" s="114" customFormat="1">
      <c r="B1" s="78"/>
      <c r="C1" s="78"/>
      <c r="D1" s="78"/>
      <c r="E1" s="78"/>
      <c r="F1" s="78"/>
      <c r="G1" s="78"/>
      <c r="H1" s="78"/>
      <c r="I1" s="78"/>
    </row>
    <row r="2" spans="2:9">
      <c r="B2" s="627" t="s">
        <v>1018</v>
      </c>
      <c r="C2" s="628"/>
      <c r="D2" s="628"/>
      <c r="E2" s="628"/>
      <c r="F2" s="628"/>
      <c r="G2" s="628"/>
      <c r="H2" s="628"/>
      <c r="I2" s="629"/>
    </row>
    <row r="3" spans="2:9">
      <c r="B3" s="630" t="s">
        <v>408</v>
      </c>
      <c r="C3" s="631"/>
      <c r="D3" s="631"/>
      <c r="E3" s="631"/>
      <c r="F3" s="631"/>
      <c r="G3" s="631"/>
      <c r="H3" s="631"/>
      <c r="I3" s="632"/>
    </row>
    <row r="4" spans="2:9">
      <c r="B4" s="630" t="s">
        <v>234</v>
      </c>
      <c r="C4" s="631"/>
      <c r="D4" s="631"/>
      <c r="E4" s="631"/>
      <c r="F4" s="631"/>
      <c r="G4" s="631"/>
      <c r="H4" s="631"/>
      <c r="I4" s="632"/>
    </row>
    <row r="5" spans="2:9">
      <c r="B5" s="630" t="s">
        <v>244</v>
      </c>
      <c r="C5" s="631"/>
      <c r="D5" s="631"/>
      <c r="E5" s="631"/>
      <c r="F5" s="631"/>
      <c r="G5" s="631"/>
      <c r="H5" s="631"/>
      <c r="I5" s="632"/>
    </row>
    <row r="6" spans="2:9">
      <c r="B6" s="633" t="s">
        <v>1020</v>
      </c>
      <c r="C6" s="634"/>
      <c r="D6" s="634"/>
      <c r="E6" s="634"/>
      <c r="F6" s="634"/>
      <c r="G6" s="634"/>
      <c r="H6" s="634"/>
      <c r="I6" s="635"/>
    </row>
    <row r="7" spans="2:9" s="114" customFormat="1">
      <c r="B7" s="78"/>
      <c r="C7" s="78"/>
      <c r="D7" s="78"/>
      <c r="E7" s="78"/>
      <c r="F7" s="78"/>
      <c r="G7" s="78"/>
      <c r="H7" s="78"/>
      <c r="I7" s="78"/>
    </row>
    <row r="8" spans="2:9">
      <c r="B8" s="654" t="s">
        <v>76</v>
      </c>
      <c r="C8" s="655"/>
      <c r="D8" s="651" t="s">
        <v>245</v>
      </c>
      <c r="E8" s="651"/>
      <c r="F8" s="651"/>
      <c r="G8" s="651"/>
      <c r="H8" s="651"/>
      <c r="I8" s="651" t="s">
        <v>237</v>
      </c>
    </row>
    <row r="9" spans="2:9" ht="22.5">
      <c r="B9" s="656"/>
      <c r="C9" s="657"/>
      <c r="D9" s="115" t="s">
        <v>238</v>
      </c>
      <c r="E9" s="115" t="s">
        <v>239</v>
      </c>
      <c r="F9" s="115" t="s">
        <v>212</v>
      </c>
      <c r="G9" s="115" t="s">
        <v>213</v>
      </c>
      <c r="H9" s="115" t="s">
        <v>240</v>
      </c>
      <c r="I9" s="651"/>
    </row>
    <row r="10" spans="2:9">
      <c r="B10" s="658"/>
      <c r="C10" s="659"/>
      <c r="D10" s="115">
        <v>1</v>
      </c>
      <c r="E10" s="115">
        <v>2</v>
      </c>
      <c r="F10" s="115" t="s">
        <v>241</v>
      </c>
      <c r="G10" s="115">
        <v>4</v>
      </c>
      <c r="H10" s="115">
        <v>5</v>
      </c>
      <c r="I10" s="115" t="s">
        <v>242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6"/>
      <c r="C12" s="132" t="s">
        <v>246</v>
      </c>
      <c r="D12" s="519">
        <v>2493000</v>
      </c>
      <c r="E12" s="519">
        <v>0</v>
      </c>
      <c r="F12" s="519">
        <f>+D12+E12</f>
        <v>2493000</v>
      </c>
      <c r="G12" s="519">
        <v>428038</v>
      </c>
      <c r="H12" s="519">
        <v>428038</v>
      </c>
      <c r="I12" s="519">
        <f>+F12-G12</f>
        <v>2064962</v>
      </c>
    </row>
    <row r="13" spans="2:9">
      <c r="B13" s="116"/>
      <c r="C13" s="117"/>
      <c r="D13" s="519"/>
      <c r="E13" s="519"/>
      <c r="F13" s="519"/>
      <c r="G13" s="519"/>
      <c r="H13" s="519"/>
      <c r="I13" s="519"/>
    </row>
    <row r="14" spans="2:9">
      <c r="B14" s="133"/>
      <c r="C14" s="132" t="s">
        <v>247</v>
      </c>
      <c r="D14" s="519">
        <v>23000</v>
      </c>
      <c r="E14" s="519">
        <v>0</v>
      </c>
      <c r="F14" s="519">
        <f>+D14+E14</f>
        <v>23000</v>
      </c>
      <c r="G14" s="519">
        <v>9994</v>
      </c>
      <c r="H14" s="519">
        <v>9994</v>
      </c>
      <c r="I14" s="519">
        <f>+F14-G14</f>
        <v>13006</v>
      </c>
    </row>
    <row r="15" spans="2:9">
      <c r="B15" s="116"/>
      <c r="C15" s="117"/>
      <c r="D15" s="519"/>
      <c r="E15" s="519"/>
      <c r="F15" s="519"/>
      <c r="G15" s="519"/>
      <c r="H15" s="519"/>
      <c r="I15" s="519"/>
    </row>
    <row r="16" spans="2:9">
      <c r="B16" s="133"/>
      <c r="C16" s="132" t="s">
        <v>248</v>
      </c>
      <c r="D16" s="519">
        <v>0</v>
      </c>
      <c r="E16" s="519">
        <v>0</v>
      </c>
      <c r="F16" s="519">
        <f>+D16+E16</f>
        <v>0</v>
      </c>
      <c r="G16" s="519">
        <v>0</v>
      </c>
      <c r="H16" s="519">
        <v>0</v>
      </c>
      <c r="I16" s="519">
        <f>+F16-G16</f>
        <v>0</v>
      </c>
    </row>
    <row r="17" spans="1:10">
      <c r="B17" s="134"/>
      <c r="C17" s="135"/>
      <c r="D17" s="521"/>
      <c r="E17" s="521"/>
      <c r="F17" s="521"/>
      <c r="G17" s="521"/>
      <c r="H17" s="521"/>
      <c r="I17" s="521"/>
    </row>
    <row r="18" spans="1:10" s="127" customFormat="1">
      <c r="A18" s="124"/>
      <c r="B18" s="134"/>
      <c r="C18" s="135" t="s">
        <v>243</v>
      </c>
      <c r="D18" s="522">
        <f>+D12+D14+D16</f>
        <v>2516000</v>
      </c>
      <c r="E18" s="522">
        <f t="shared" ref="E18:I18" si="0">+E12+E14+E16</f>
        <v>0</v>
      </c>
      <c r="F18" s="522">
        <f t="shared" si="0"/>
        <v>2516000</v>
      </c>
      <c r="G18" s="522">
        <f t="shared" si="0"/>
        <v>438032</v>
      </c>
      <c r="H18" s="522">
        <f t="shared" si="0"/>
        <v>438032</v>
      </c>
      <c r="I18" s="522">
        <f t="shared" si="0"/>
        <v>2077968</v>
      </c>
      <c r="J18" s="124"/>
    </row>
    <row r="19" spans="1:10" s="114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37" t="str">
        <f>IF(D18=CAdmon!D22," ","ERROR")</f>
        <v xml:space="preserve"> </v>
      </c>
      <c r="E21" s="137" t="str">
        <f>IF(E18=CAdmon!E22," ","ERROR")</f>
        <v xml:space="preserve"> </v>
      </c>
      <c r="F21" s="137" t="str">
        <f>IF(F18=CAdmon!F22," ","ERROR")</f>
        <v xml:space="preserve"> </v>
      </c>
      <c r="G21" s="137" t="str">
        <f>IF(G18=CAdmon!G22," ","ERROR")</f>
        <v xml:space="preserve"> </v>
      </c>
      <c r="H21" s="137" t="str">
        <f>IF(H18=CAdmon!H22," ","ERROR")</f>
        <v xml:space="preserve"> </v>
      </c>
      <c r="I21" s="13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29" sqref="H29"/>
    </sheetView>
  </sheetViews>
  <sheetFormatPr baseColWidth="10" defaultRowHeight="15"/>
  <cols>
    <col min="1" max="1" width="1.5703125" style="114" customWidth="1"/>
    <col min="2" max="2" width="4.5703125" style="154" customWidth="1"/>
    <col min="3" max="3" width="60.28515625" style="79" customWidth="1"/>
    <col min="4" max="9" width="12.7109375" style="79" customWidth="1"/>
    <col min="10" max="10" width="3.28515625" style="114" customWidth="1"/>
  </cols>
  <sheetData>
    <row r="1" spans="1:10" s="114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627" t="s">
        <v>1018</v>
      </c>
      <c r="C2" s="628"/>
      <c r="D2" s="628"/>
      <c r="E2" s="628"/>
      <c r="F2" s="628"/>
      <c r="G2" s="628"/>
      <c r="H2" s="628"/>
      <c r="I2" s="629"/>
    </row>
    <row r="3" spans="1:10">
      <c r="B3" s="630" t="s">
        <v>375</v>
      </c>
      <c r="C3" s="631"/>
      <c r="D3" s="631"/>
      <c r="E3" s="631"/>
      <c r="F3" s="631"/>
      <c r="G3" s="631"/>
      <c r="H3" s="631"/>
      <c r="I3" s="632"/>
    </row>
    <row r="4" spans="1:10">
      <c r="B4" s="630" t="s">
        <v>234</v>
      </c>
      <c r="C4" s="631"/>
      <c r="D4" s="631"/>
      <c r="E4" s="631"/>
      <c r="F4" s="631"/>
      <c r="G4" s="631"/>
      <c r="H4" s="631"/>
      <c r="I4" s="632"/>
    </row>
    <row r="5" spans="1:10">
      <c r="B5" s="630" t="s">
        <v>298</v>
      </c>
      <c r="C5" s="631"/>
      <c r="D5" s="631"/>
      <c r="E5" s="631"/>
      <c r="F5" s="631"/>
      <c r="G5" s="631"/>
      <c r="H5" s="631"/>
      <c r="I5" s="632"/>
    </row>
    <row r="6" spans="1:10">
      <c r="B6" s="633" t="s">
        <v>1021</v>
      </c>
      <c r="C6" s="634"/>
      <c r="D6" s="634"/>
      <c r="E6" s="634"/>
      <c r="F6" s="634"/>
      <c r="G6" s="634"/>
      <c r="H6" s="634"/>
      <c r="I6" s="635"/>
    </row>
    <row r="7" spans="1:10" s="114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650" t="s">
        <v>76</v>
      </c>
      <c r="C8" s="650"/>
      <c r="D8" s="651" t="s">
        <v>236</v>
      </c>
      <c r="E8" s="651"/>
      <c r="F8" s="651"/>
      <c r="G8" s="651"/>
      <c r="H8" s="651"/>
      <c r="I8" s="651" t="s">
        <v>237</v>
      </c>
    </row>
    <row r="9" spans="1:10" ht="22.5">
      <c r="B9" s="650"/>
      <c r="C9" s="650"/>
      <c r="D9" s="115" t="s">
        <v>238</v>
      </c>
      <c r="E9" s="115" t="s">
        <v>239</v>
      </c>
      <c r="F9" s="115" t="s">
        <v>212</v>
      </c>
      <c r="G9" s="115" t="s">
        <v>213</v>
      </c>
      <c r="H9" s="115" t="s">
        <v>240</v>
      </c>
      <c r="I9" s="651"/>
    </row>
    <row r="10" spans="1:10">
      <c r="B10" s="650"/>
      <c r="C10" s="650"/>
      <c r="D10" s="115">
        <v>1</v>
      </c>
      <c r="E10" s="115">
        <v>2</v>
      </c>
      <c r="F10" s="115" t="s">
        <v>241</v>
      </c>
      <c r="G10" s="115">
        <v>4</v>
      </c>
      <c r="H10" s="115">
        <v>5</v>
      </c>
      <c r="I10" s="115" t="s">
        <v>242</v>
      </c>
    </row>
    <row r="11" spans="1:10" ht="3" customHeight="1">
      <c r="B11" s="143"/>
      <c r="C11" s="130"/>
      <c r="D11" s="131"/>
      <c r="E11" s="131"/>
      <c r="F11" s="131"/>
      <c r="G11" s="131"/>
      <c r="H11" s="131"/>
      <c r="I11" s="131"/>
    </row>
    <row r="12" spans="1:10" s="145" customFormat="1">
      <c r="A12" s="144"/>
      <c r="B12" s="660" t="s">
        <v>299</v>
      </c>
      <c r="C12" s="661"/>
      <c r="D12" s="523">
        <f>SUM(D13:D20)</f>
        <v>0</v>
      </c>
      <c r="E12" s="523">
        <f t="shared" ref="E12:I12" si="0">SUM(E13:E20)</f>
        <v>0</v>
      </c>
      <c r="F12" s="523">
        <f t="shared" si="0"/>
        <v>0</v>
      </c>
      <c r="G12" s="523">
        <f t="shared" si="0"/>
        <v>0</v>
      </c>
      <c r="H12" s="523">
        <f t="shared" si="0"/>
        <v>0</v>
      </c>
      <c r="I12" s="523">
        <f t="shared" si="0"/>
        <v>0</v>
      </c>
      <c r="J12" s="144"/>
    </row>
    <row r="13" spans="1:10" s="145" customFormat="1">
      <c r="A13" s="144"/>
      <c r="B13" s="146"/>
      <c r="C13" s="147" t="s">
        <v>300</v>
      </c>
      <c r="D13" s="515">
        <v>0</v>
      </c>
      <c r="E13" s="515">
        <v>0</v>
      </c>
      <c r="F13" s="515">
        <f>+D13+E13</f>
        <v>0</v>
      </c>
      <c r="G13" s="515">
        <v>0</v>
      </c>
      <c r="H13" s="515">
        <v>0</v>
      </c>
      <c r="I13" s="515">
        <f>+F13-G13</f>
        <v>0</v>
      </c>
      <c r="J13" s="144"/>
    </row>
    <row r="14" spans="1:10" s="145" customFormat="1">
      <c r="A14" s="144"/>
      <c r="B14" s="146"/>
      <c r="C14" s="147" t="s">
        <v>301</v>
      </c>
      <c r="D14" s="515">
        <v>0</v>
      </c>
      <c r="E14" s="515">
        <v>0</v>
      </c>
      <c r="F14" s="515">
        <f t="shared" ref="F14:F20" si="1">+D14+E14</f>
        <v>0</v>
      </c>
      <c r="G14" s="515">
        <v>0</v>
      </c>
      <c r="H14" s="515">
        <v>0</v>
      </c>
      <c r="I14" s="515">
        <f t="shared" ref="I14:I20" si="2">+F14-G14</f>
        <v>0</v>
      </c>
      <c r="J14" s="144"/>
    </row>
    <row r="15" spans="1:10" s="145" customFormat="1">
      <c r="A15" s="144"/>
      <c r="B15" s="146"/>
      <c r="C15" s="147" t="s">
        <v>302</v>
      </c>
      <c r="D15" s="515">
        <v>0</v>
      </c>
      <c r="E15" s="515">
        <v>0</v>
      </c>
      <c r="F15" s="515">
        <f t="shared" si="1"/>
        <v>0</v>
      </c>
      <c r="G15" s="515">
        <v>0</v>
      </c>
      <c r="H15" s="515">
        <v>0</v>
      </c>
      <c r="I15" s="515">
        <f t="shared" si="2"/>
        <v>0</v>
      </c>
      <c r="J15" s="144"/>
    </row>
    <row r="16" spans="1:10" s="145" customFormat="1">
      <c r="A16" s="144"/>
      <c r="B16" s="146"/>
      <c r="C16" s="147" t="s">
        <v>303</v>
      </c>
      <c r="D16" s="515">
        <v>0</v>
      </c>
      <c r="E16" s="515">
        <v>0</v>
      </c>
      <c r="F16" s="515">
        <f t="shared" si="1"/>
        <v>0</v>
      </c>
      <c r="G16" s="515">
        <v>0</v>
      </c>
      <c r="H16" s="515">
        <v>0</v>
      </c>
      <c r="I16" s="515">
        <f t="shared" si="2"/>
        <v>0</v>
      </c>
      <c r="J16" s="144"/>
    </row>
    <row r="17" spans="1:10" s="145" customFormat="1">
      <c r="A17" s="144"/>
      <c r="B17" s="146"/>
      <c r="C17" s="147" t="s">
        <v>304</v>
      </c>
      <c r="D17" s="515">
        <v>0</v>
      </c>
      <c r="E17" s="515">
        <v>0</v>
      </c>
      <c r="F17" s="515">
        <f t="shared" si="1"/>
        <v>0</v>
      </c>
      <c r="G17" s="515">
        <v>0</v>
      </c>
      <c r="H17" s="515">
        <v>0</v>
      </c>
      <c r="I17" s="515">
        <f t="shared" si="2"/>
        <v>0</v>
      </c>
      <c r="J17" s="144"/>
    </row>
    <row r="18" spans="1:10" s="145" customFormat="1">
      <c r="A18" s="144"/>
      <c r="B18" s="146"/>
      <c r="C18" s="147" t="s">
        <v>305</v>
      </c>
      <c r="D18" s="515">
        <v>0</v>
      </c>
      <c r="E18" s="515">
        <v>0</v>
      </c>
      <c r="F18" s="515">
        <f t="shared" si="1"/>
        <v>0</v>
      </c>
      <c r="G18" s="515">
        <v>0</v>
      </c>
      <c r="H18" s="515">
        <v>0</v>
      </c>
      <c r="I18" s="515">
        <f t="shared" si="2"/>
        <v>0</v>
      </c>
      <c r="J18" s="144"/>
    </row>
    <row r="19" spans="1:10" s="145" customFormat="1">
      <c r="A19" s="144"/>
      <c r="B19" s="146"/>
      <c r="C19" s="147" t="s">
        <v>306</v>
      </c>
      <c r="D19" s="515">
        <v>0</v>
      </c>
      <c r="E19" s="515">
        <v>0</v>
      </c>
      <c r="F19" s="515">
        <f t="shared" si="1"/>
        <v>0</v>
      </c>
      <c r="G19" s="515">
        <v>0</v>
      </c>
      <c r="H19" s="515">
        <v>0</v>
      </c>
      <c r="I19" s="515">
        <f t="shared" si="2"/>
        <v>0</v>
      </c>
      <c r="J19" s="144"/>
    </row>
    <row r="20" spans="1:10" s="145" customFormat="1">
      <c r="A20" s="144"/>
      <c r="B20" s="146"/>
      <c r="C20" s="147" t="s">
        <v>273</v>
      </c>
      <c r="D20" s="515">
        <v>0</v>
      </c>
      <c r="E20" s="515">
        <v>0</v>
      </c>
      <c r="F20" s="515">
        <f t="shared" si="1"/>
        <v>0</v>
      </c>
      <c r="G20" s="515">
        <v>0</v>
      </c>
      <c r="H20" s="515">
        <v>0</v>
      </c>
      <c r="I20" s="515">
        <f t="shared" si="2"/>
        <v>0</v>
      </c>
      <c r="J20" s="144"/>
    </row>
    <row r="21" spans="1:10" s="145" customFormat="1">
      <c r="A21" s="144"/>
      <c r="B21" s="146"/>
      <c r="C21" s="147"/>
      <c r="D21" s="515"/>
      <c r="E21" s="515"/>
      <c r="F21" s="515"/>
      <c r="G21" s="515"/>
      <c r="H21" s="515"/>
      <c r="I21" s="515"/>
      <c r="J21" s="144"/>
    </row>
    <row r="22" spans="1:10" s="149" customFormat="1">
      <c r="A22" s="148"/>
      <c r="B22" s="660" t="s">
        <v>307</v>
      </c>
      <c r="C22" s="661"/>
      <c r="D22" s="524">
        <f>SUM(D23:D29)</f>
        <v>2516000</v>
      </c>
      <c r="E22" s="524">
        <f t="shared" ref="E22" si="3">SUM(E23:E29)</f>
        <v>0</v>
      </c>
      <c r="F22" s="524">
        <f>+D22+E22</f>
        <v>2516000</v>
      </c>
      <c r="G22" s="524">
        <f t="shared" ref="G22" si="4">SUM(G23:G29)</f>
        <v>438032</v>
      </c>
      <c r="H22" s="524">
        <f t="shared" ref="H22" si="5">SUM(H23:H29)</f>
        <v>438032</v>
      </c>
      <c r="I22" s="524">
        <f>+F22-G22</f>
        <v>2077968</v>
      </c>
      <c r="J22" s="148"/>
    </row>
    <row r="23" spans="1:10" s="145" customFormat="1">
      <c r="A23" s="144"/>
      <c r="B23" s="146"/>
      <c r="C23" s="147" t="s">
        <v>308</v>
      </c>
      <c r="D23" s="525">
        <v>0</v>
      </c>
      <c r="E23" s="525">
        <v>0</v>
      </c>
      <c r="F23" s="516">
        <f t="shared" ref="F23:F29" si="6">+D23+E23</f>
        <v>0</v>
      </c>
      <c r="G23" s="525">
        <v>0</v>
      </c>
      <c r="H23" s="525">
        <v>0</v>
      </c>
      <c r="I23" s="516">
        <f t="shared" ref="I23:I29" si="7">+F23-G23</f>
        <v>0</v>
      </c>
      <c r="J23" s="144"/>
    </row>
    <row r="24" spans="1:10" s="145" customFormat="1">
      <c r="A24" s="144"/>
      <c r="B24" s="146"/>
      <c r="C24" s="147" t="s">
        <v>309</v>
      </c>
      <c r="D24" s="525">
        <v>0</v>
      </c>
      <c r="E24" s="525">
        <v>0</v>
      </c>
      <c r="F24" s="516">
        <f t="shared" si="6"/>
        <v>0</v>
      </c>
      <c r="G24" s="525">
        <v>0</v>
      </c>
      <c r="H24" s="525">
        <v>0</v>
      </c>
      <c r="I24" s="516">
        <f t="shared" si="7"/>
        <v>0</v>
      </c>
      <c r="J24" s="144"/>
    </row>
    <row r="25" spans="1:10" s="145" customFormat="1">
      <c r="A25" s="144"/>
      <c r="B25" s="146"/>
      <c r="C25" s="147" t="s">
        <v>310</v>
      </c>
      <c r="D25" s="525">
        <v>0</v>
      </c>
      <c r="E25" s="525">
        <v>0</v>
      </c>
      <c r="F25" s="516">
        <f t="shared" si="6"/>
        <v>0</v>
      </c>
      <c r="G25" s="525">
        <v>0</v>
      </c>
      <c r="H25" s="525">
        <v>0</v>
      </c>
      <c r="I25" s="516">
        <f t="shared" si="7"/>
        <v>0</v>
      </c>
      <c r="J25" s="144"/>
    </row>
    <row r="26" spans="1:10" s="145" customFormat="1">
      <c r="A26" s="144"/>
      <c r="B26" s="146"/>
      <c r="C26" s="147" t="s">
        <v>311</v>
      </c>
      <c r="D26" s="525">
        <v>0</v>
      </c>
      <c r="E26" s="525">
        <v>0</v>
      </c>
      <c r="F26" s="516">
        <f t="shared" si="6"/>
        <v>0</v>
      </c>
      <c r="G26" s="525">
        <v>0</v>
      </c>
      <c r="H26" s="525">
        <v>0</v>
      </c>
      <c r="I26" s="516">
        <f t="shared" si="7"/>
        <v>0</v>
      </c>
      <c r="J26" s="144"/>
    </row>
    <row r="27" spans="1:10" s="145" customFormat="1">
      <c r="A27" s="144"/>
      <c r="B27" s="146"/>
      <c r="C27" s="147" t="s">
        <v>312</v>
      </c>
      <c r="D27" s="525">
        <v>0</v>
      </c>
      <c r="E27" s="525">
        <v>0</v>
      </c>
      <c r="F27" s="516">
        <f t="shared" si="6"/>
        <v>0</v>
      </c>
      <c r="G27" s="525">
        <v>0</v>
      </c>
      <c r="H27" s="525">
        <v>0</v>
      </c>
      <c r="I27" s="516">
        <f t="shared" si="7"/>
        <v>0</v>
      </c>
      <c r="J27" s="144"/>
    </row>
    <row r="28" spans="1:10" s="145" customFormat="1">
      <c r="A28" s="144"/>
      <c r="B28" s="146"/>
      <c r="C28" s="147" t="s">
        <v>313</v>
      </c>
      <c r="D28" s="525">
        <v>2516000</v>
      </c>
      <c r="E28" s="525">
        <v>0</v>
      </c>
      <c r="F28" s="516">
        <f t="shared" si="6"/>
        <v>2516000</v>
      </c>
      <c r="G28" s="525">
        <v>438032</v>
      </c>
      <c r="H28" s="525">
        <v>438032</v>
      </c>
      <c r="I28" s="516">
        <f t="shared" si="7"/>
        <v>2077968</v>
      </c>
      <c r="J28" s="144"/>
    </row>
    <row r="29" spans="1:10" s="145" customFormat="1">
      <c r="A29" s="144"/>
      <c r="B29" s="146"/>
      <c r="C29" s="147" t="s">
        <v>314</v>
      </c>
      <c r="D29" s="525">
        <v>0</v>
      </c>
      <c r="E29" s="525">
        <v>0</v>
      </c>
      <c r="F29" s="516">
        <f t="shared" si="6"/>
        <v>0</v>
      </c>
      <c r="G29" s="525">
        <v>0</v>
      </c>
      <c r="H29" s="525">
        <v>0</v>
      </c>
      <c r="I29" s="516">
        <f t="shared" si="7"/>
        <v>0</v>
      </c>
      <c r="J29" s="144"/>
    </row>
    <row r="30" spans="1:10" s="145" customFormat="1">
      <c r="A30" s="144"/>
      <c r="B30" s="146"/>
      <c r="C30" s="147"/>
      <c r="D30" s="525"/>
      <c r="E30" s="525"/>
      <c r="F30" s="525"/>
      <c r="G30" s="525"/>
      <c r="H30" s="525"/>
      <c r="I30" s="525"/>
      <c r="J30" s="144"/>
    </row>
    <row r="31" spans="1:10" s="149" customFormat="1">
      <c r="A31" s="148"/>
      <c r="B31" s="660" t="s">
        <v>315</v>
      </c>
      <c r="C31" s="661"/>
      <c r="D31" s="526">
        <f>SUM(D32:D40)</f>
        <v>0</v>
      </c>
      <c r="E31" s="526">
        <f>SUM(E32:E40)</f>
        <v>0</v>
      </c>
      <c r="F31" s="526">
        <f>+D31+E31</f>
        <v>0</v>
      </c>
      <c r="G31" s="526">
        <f>SUM(G32:G40)</f>
        <v>0</v>
      </c>
      <c r="H31" s="526">
        <f>SUM(H32:H40)</f>
        <v>0</v>
      </c>
      <c r="I31" s="526">
        <f>+F31-G31</f>
        <v>0</v>
      </c>
      <c r="J31" s="148"/>
    </row>
    <row r="32" spans="1:10" s="145" customFormat="1">
      <c r="A32" s="144"/>
      <c r="B32" s="146"/>
      <c r="C32" s="147" t="s">
        <v>316</v>
      </c>
      <c r="D32" s="525">
        <v>0</v>
      </c>
      <c r="E32" s="525">
        <v>0</v>
      </c>
      <c r="F32" s="525">
        <f t="shared" ref="F32:F40" si="8">+D32+E32</f>
        <v>0</v>
      </c>
      <c r="G32" s="525">
        <v>0</v>
      </c>
      <c r="H32" s="525">
        <v>0</v>
      </c>
      <c r="I32" s="525">
        <f t="shared" ref="I32:I40" si="9">+F32-G32</f>
        <v>0</v>
      </c>
      <c r="J32" s="144"/>
    </row>
    <row r="33" spans="1:10" s="145" customFormat="1">
      <c r="A33" s="144"/>
      <c r="B33" s="146"/>
      <c r="C33" s="147" t="s">
        <v>317</v>
      </c>
      <c r="D33" s="525">
        <v>0</v>
      </c>
      <c r="E33" s="525">
        <v>0</v>
      </c>
      <c r="F33" s="525">
        <f t="shared" si="8"/>
        <v>0</v>
      </c>
      <c r="G33" s="525">
        <v>0</v>
      </c>
      <c r="H33" s="525">
        <v>0</v>
      </c>
      <c r="I33" s="525">
        <f t="shared" si="9"/>
        <v>0</v>
      </c>
      <c r="J33" s="144"/>
    </row>
    <row r="34" spans="1:10" s="145" customFormat="1">
      <c r="A34" s="144"/>
      <c r="B34" s="146"/>
      <c r="C34" s="147" t="s">
        <v>318</v>
      </c>
      <c r="D34" s="525">
        <v>0</v>
      </c>
      <c r="E34" s="525">
        <v>0</v>
      </c>
      <c r="F34" s="525">
        <f t="shared" si="8"/>
        <v>0</v>
      </c>
      <c r="G34" s="525">
        <v>0</v>
      </c>
      <c r="H34" s="525">
        <v>0</v>
      </c>
      <c r="I34" s="525">
        <f t="shared" si="9"/>
        <v>0</v>
      </c>
      <c r="J34" s="144"/>
    </row>
    <row r="35" spans="1:10" s="145" customFormat="1">
      <c r="A35" s="144"/>
      <c r="B35" s="146"/>
      <c r="C35" s="147" t="s">
        <v>319</v>
      </c>
      <c r="D35" s="525">
        <v>0</v>
      </c>
      <c r="E35" s="525">
        <v>0</v>
      </c>
      <c r="F35" s="525">
        <f t="shared" si="8"/>
        <v>0</v>
      </c>
      <c r="G35" s="525">
        <v>0</v>
      </c>
      <c r="H35" s="525">
        <v>0</v>
      </c>
      <c r="I35" s="525">
        <f t="shared" si="9"/>
        <v>0</v>
      </c>
      <c r="J35" s="144"/>
    </row>
    <row r="36" spans="1:10" s="145" customFormat="1">
      <c r="A36" s="144"/>
      <c r="B36" s="146"/>
      <c r="C36" s="147" t="s">
        <v>320</v>
      </c>
      <c r="D36" s="525">
        <v>0</v>
      </c>
      <c r="E36" s="525">
        <v>0</v>
      </c>
      <c r="F36" s="525">
        <f t="shared" si="8"/>
        <v>0</v>
      </c>
      <c r="G36" s="525">
        <v>0</v>
      </c>
      <c r="H36" s="525">
        <v>0</v>
      </c>
      <c r="I36" s="525">
        <f t="shared" si="9"/>
        <v>0</v>
      </c>
      <c r="J36" s="144"/>
    </row>
    <row r="37" spans="1:10" s="145" customFormat="1">
      <c r="A37" s="144"/>
      <c r="B37" s="146"/>
      <c r="C37" s="147" t="s">
        <v>321</v>
      </c>
      <c r="D37" s="525">
        <v>0</v>
      </c>
      <c r="E37" s="525">
        <v>0</v>
      </c>
      <c r="F37" s="525">
        <f t="shared" si="8"/>
        <v>0</v>
      </c>
      <c r="G37" s="525">
        <v>0</v>
      </c>
      <c r="H37" s="525">
        <v>0</v>
      </c>
      <c r="I37" s="525">
        <f t="shared" si="9"/>
        <v>0</v>
      </c>
      <c r="J37" s="144"/>
    </row>
    <row r="38" spans="1:10" s="145" customFormat="1">
      <c r="A38" s="144"/>
      <c r="B38" s="146"/>
      <c r="C38" s="147" t="s">
        <v>322</v>
      </c>
      <c r="D38" s="525">
        <v>0</v>
      </c>
      <c r="E38" s="525">
        <v>0</v>
      </c>
      <c r="F38" s="525">
        <f t="shared" si="8"/>
        <v>0</v>
      </c>
      <c r="G38" s="525">
        <v>0</v>
      </c>
      <c r="H38" s="525">
        <v>0</v>
      </c>
      <c r="I38" s="525">
        <f t="shared" si="9"/>
        <v>0</v>
      </c>
      <c r="J38" s="144"/>
    </row>
    <row r="39" spans="1:10" s="145" customFormat="1">
      <c r="A39" s="144"/>
      <c r="B39" s="146"/>
      <c r="C39" s="147" t="s">
        <v>323</v>
      </c>
      <c r="D39" s="525">
        <v>0</v>
      </c>
      <c r="E39" s="525">
        <v>0</v>
      </c>
      <c r="F39" s="525">
        <f t="shared" si="8"/>
        <v>0</v>
      </c>
      <c r="G39" s="525">
        <v>0</v>
      </c>
      <c r="H39" s="525">
        <v>0</v>
      </c>
      <c r="I39" s="525">
        <f t="shared" si="9"/>
        <v>0</v>
      </c>
      <c r="J39" s="144"/>
    </row>
    <row r="40" spans="1:10" s="145" customFormat="1">
      <c r="A40" s="144"/>
      <c r="B40" s="146"/>
      <c r="C40" s="147" t="s">
        <v>324</v>
      </c>
      <c r="D40" s="525">
        <v>0</v>
      </c>
      <c r="E40" s="525">
        <v>0</v>
      </c>
      <c r="F40" s="525">
        <f t="shared" si="8"/>
        <v>0</v>
      </c>
      <c r="G40" s="525">
        <v>0</v>
      </c>
      <c r="H40" s="525">
        <v>0</v>
      </c>
      <c r="I40" s="525">
        <f t="shared" si="9"/>
        <v>0</v>
      </c>
      <c r="J40" s="144"/>
    </row>
    <row r="41" spans="1:10" s="145" customFormat="1">
      <c r="A41" s="144"/>
      <c r="B41" s="146"/>
      <c r="C41" s="147"/>
      <c r="D41" s="525"/>
      <c r="E41" s="525"/>
      <c r="F41" s="525"/>
      <c r="G41" s="525"/>
      <c r="H41" s="525"/>
      <c r="I41" s="525"/>
      <c r="J41" s="144"/>
    </row>
    <row r="42" spans="1:10" s="149" customFormat="1">
      <c r="A42" s="148"/>
      <c r="B42" s="660" t="s">
        <v>325</v>
      </c>
      <c r="C42" s="661"/>
      <c r="D42" s="526">
        <f>SUM(D43:D46)</f>
        <v>0</v>
      </c>
      <c r="E42" s="526">
        <f>SUM(E43:E46)</f>
        <v>0</v>
      </c>
      <c r="F42" s="526">
        <f>+D42+E42</f>
        <v>0</v>
      </c>
      <c r="G42" s="526">
        <f t="shared" ref="G42:H42" si="10">SUM(G43:G46)</f>
        <v>0</v>
      </c>
      <c r="H42" s="526">
        <f t="shared" si="10"/>
        <v>0</v>
      </c>
      <c r="I42" s="526">
        <f>+F42-G42</f>
        <v>0</v>
      </c>
      <c r="J42" s="148"/>
    </row>
    <row r="43" spans="1:10" s="145" customFormat="1">
      <c r="A43" s="144"/>
      <c r="B43" s="146"/>
      <c r="C43" s="147" t="s">
        <v>326</v>
      </c>
      <c r="D43" s="525">
        <v>0</v>
      </c>
      <c r="E43" s="525">
        <v>0</v>
      </c>
      <c r="F43" s="525">
        <f t="shared" ref="F43:F46" si="11">+D43+E43</f>
        <v>0</v>
      </c>
      <c r="G43" s="525">
        <v>0</v>
      </c>
      <c r="H43" s="525">
        <v>0</v>
      </c>
      <c r="I43" s="525">
        <f t="shared" ref="I43:I46" si="12">+F43-G43</f>
        <v>0</v>
      </c>
      <c r="J43" s="144"/>
    </row>
    <row r="44" spans="1:10" s="145" customFormat="1" ht="22.5">
      <c r="A44" s="144"/>
      <c r="B44" s="146"/>
      <c r="C44" s="147" t="s">
        <v>327</v>
      </c>
      <c r="D44" s="525">
        <v>0</v>
      </c>
      <c r="E44" s="525">
        <v>0</v>
      </c>
      <c r="F44" s="525">
        <f t="shared" si="11"/>
        <v>0</v>
      </c>
      <c r="G44" s="525">
        <v>0</v>
      </c>
      <c r="H44" s="525">
        <v>0</v>
      </c>
      <c r="I44" s="525">
        <f t="shared" si="12"/>
        <v>0</v>
      </c>
      <c r="J44" s="144"/>
    </row>
    <row r="45" spans="1:10" s="145" customFormat="1">
      <c r="A45" s="144"/>
      <c r="B45" s="146"/>
      <c r="C45" s="147" t="s">
        <v>328</v>
      </c>
      <c r="D45" s="525">
        <v>0</v>
      </c>
      <c r="E45" s="525">
        <v>0</v>
      </c>
      <c r="F45" s="525">
        <f t="shared" si="11"/>
        <v>0</v>
      </c>
      <c r="G45" s="525">
        <v>0</v>
      </c>
      <c r="H45" s="525">
        <v>0</v>
      </c>
      <c r="I45" s="525">
        <f t="shared" si="12"/>
        <v>0</v>
      </c>
      <c r="J45" s="144"/>
    </row>
    <row r="46" spans="1:10" s="145" customFormat="1">
      <c r="A46" s="144"/>
      <c r="B46" s="146"/>
      <c r="C46" s="147" t="s">
        <v>329</v>
      </c>
      <c r="D46" s="525">
        <v>0</v>
      </c>
      <c r="E46" s="525">
        <v>0</v>
      </c>
      <c r="F46" s="525">
        <f t="shared" si="11"/>
        <v>0</v>
      </c>
      <c r="G46" s="525">
        <v>0</v>
      </c>
      <c r="H46" s="525">
        <v>0</v>
      </c>
      <c r="I46" s="525">
        <f t="shared" si="12"/>
        <v>0</v>
      </c>
      <c r="J46" s="144"/>
    </row>
    <row r="47" spans="1:10" s="145" customFormat="1">
      <c r="A47" s="144"/>
      <c r="B47" s="150"/>
      <c r="C47" s="151"/>
      <c r="D47" s="527"/>
      <c r="E47" s="527"/>
      <c r="F47" s="527"/>
      <c r="G47" s="527"/>
      <c r="H47" s="527"/>
      <c r="I47" s="527"/>
      <c r="J47" s="144"/>
    </row>
    <row r="48" spans="1:10" s="149" customFormat="1">
      <c r="A48" s="148"/>
      <c r="B48" s="152"/>
      <c r="C48" s="153" t="s">
        <v>243</v>
      </c>
      <c r="D48" s="528">
        <f>+D12+D22+D31+D42</f>
        <v>2516000</v>
      </c>
      <c r="E48" s="528">
        <f t="shared" ref="E48:I48" si="13">+E12+E22+E31+E42</f>
        <v>0</v>
      </c>
      <c r="F48" s="528">
        <f t="shared" si="13"/>
        <v>2516000</v>
      </c>
      <c r="G48" s="528">
        <f t="shared" si="13"/>
        <v>438032</v>
      </c>
      <c r="H48" s="528">
        <f t="shared" si="13"/>
        <v>438032</v>
      </c>
      <c r="I48" s="528">
        <f t="shared" si="13"/>
        <v>2077968</v>
      </c>
      <c r="J48" s="148"/>
    </row>
    <row r="50" spans="4:9" ht="15.75">
      <c r="D50" s="155" t="str">
        <f>IF(D48=CAdmon!D22," ","ERROR")</f>
        <v xml:space="preserve"> </v>
      </c>
      <c r="E50" s="155" t="str">
        <f>IF(E48=CAdmon!E22," ","ERROR")</f>
        <v xml:space="preserve"> </v>
      </c>
      <c r="F50" s="155" t="str">
        <f>IF(F48=CAdmon!F22," ","ERROR")</f>
        <v xml:space="preserve"> </v>
      </c>
      <c r="G50" s="155" t="str">
        <f>IF(G48=CAdmon!G22," ","ERROR")</f>
        <v xml:space="preserve"> </v>
      </c>
      <c r="H50" s="155" t="str">
        <f>IF(H48=CAdmon!H22," ","ERROR")</f>
        <v xml:space="preserve"> </v>
      </c>
      <c r="I50" s="1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L15" sqref="L15"/>
    </sheetView>
  </sheetViews>
  <sheetFormatPr baseColWidth="10" defaultRowHeight="14.25"/>
  <cols>
    <col min="1" max="1" width="3" style="168" customWidth="1"/>
    <col min="2" max="2" width="18.5703125" style="168" customWidth="1"/>
    <col min="3" max="3" width="19" style="168" customWidth="1"/>
    <col min="4" max="7" width="11.42578125" style="168"/>
    <col min="8" max="8" width="13.42578125" style="168" customWidth="1"/>
    <col min="9" max="9" width="10" style="168" customWidth="1"/>
    <col min="10" max="10" width="3" style="168" customWidth="1"/>
    <col min="11" max="16384" width="11.42578125" style="168"/>
  </cols>
  <sheetData>
    <row r="1" spans="1:10">
      <c r="A1" s="167"/>
      <c r="B1" s="167"/>
      <c r="C1" s="167"/>
      <c r="D1" s="167"/>
      <c r="E1" s="167"/>
      <c r="F1" s="167"/>
      <c r="G1" s="167"/>
      <c r="H1" s="167"/>
      <c r="I1" s="167"/>
      <c r="J1" s="167"/>
    </row>
    <row r="2" spans="1:10">
      <c r="A2" s="167"/>
      <c r="B2" s="627" t="s">
        <v>1018</v>
      </c>
      <c r="C2" s="628"/>
      <c r="D2" s="628"/>
      <c r="E2" s="628"/>
      <c r="F2" s="628"/>
      <c r="G2" s="628"/>
      <c r="H2" s="628"/>
      <c r="I2" s="629"/>
      <c r="J2" s="167"/>
    </row>
    <row r="3" spans="1:10">
      <c r="A3" s="167"/>
      <c r="B3" s="630" t="s">
        <v>408</v>
      </c>
      <c r="C3" s="631"/>
      <c r="D3" s="631"/>
      <c r="E3" s="631"/>
      <c r="F3" s="631"/>
      <c r="G3" s="631"/>
      <c r="H3" s="631"/>
      <c r="I3" s="632"/>
      <c r="J3" s="167"/>
    </row>
    <row r="4" spans="1:10">
      <c r="A4" s="167"/>
      <c r="B4" s="630" t="s">
        <v>182</v>
      </c>
      <c r="C4" s="631"/>
      <c r="D4" s="631"/>
      <c r="E4" s="631"/>
      <c r="F4" s="631"/>
      <c r="G4" s="631"/>
      <c r="H4" s="631"/>
      <c r="I4" s="632"/>
      <c r="J4" s="167"/>
    </row>
    <row r="5" spans="1:10">
      <c r="A5" s="167"/>
      <c r="B5" s="633" t="s">
        <v>1020</v>
      </c>
      <c r="C5" s="634"/>
      <c r="D5" s="634"/>
      <c r="E5" s="634"/>
      <c r="F5" s="634"/>
      <c r="G5" s="634"/>
      <c r="H5" s="634"/>
      <c r="I5" s="635"/>
      <c r="J5" s="167"/>
    </row>
    <row r="6" spans="1:10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10">
      <c r="A7" s="167"/>
      <c r="B7" s="662" t="s">
        <v>330</v>
      </c>
      <c r="C7" s="662"/>
      <c r="D7" s="662" t="s">
        <v>331</v>
      </c>
      <c r="E7" s="662"/>
      <c r="F7" s="662" t="s">
        <v>332</v>
      </c>
      <c r="G7" s="662"/>
      <c r="H7" s="662" t="s">
        <v>333</v>
      </c>
      <c r="I7" s="662"/>
      <c r="J7" s="167"/>
    </row>
    <row r="8" spans="1:10">
      <c r="A8" s="167"/>
      <c r="B8" s="662"/>
      <c r="C8" s="662"/>
      <c r="D8" s="662" t="s">
        <v>334</v>
      </c>
      <c r="E8" s="662"/>
      <c r="F8" s="662" t="s">
        <v>335</v>
      </c>
      <c r="G8" s="662"/>
      <c r="H8" s="662" t="s">
        <v>336</v>
      </c>
      <c r="I8" s="662"/>
      <c r="J8" s="167"/>
    </row>
    <row r="9" spans="1:10">
      <c r="A9" s="167"/>
      <c r="B9" s="630" t="s">
        <v>337</v>
      </c>
      <c r="C9" s="631"/>
      <c r="D9" s="631"/>
      <c r="E9" s="631"/>
      <c r="F9" s="631"/>
      <c r="G9" s="631"/>
      <c r="H9" s="631"/>
      <c r="I9" s="632"/>
      <c r="J9" s="167"/>
    </row>
    <row r="10" spans="1:10">
      <c r="A10" s="167"/>
      <c r="B10" s="663"/>
      <c r="C10" s="663"/>
      <c r="D10" s="664"/>
      <c r="E10" s="664"/>
      <c r="F10" s="664"/>
      <c r="G10" s="664"/>
      <c r="H10" s="665"/>
      <c r="I10" s="666"/>
      <c r="J10" s="167"/>
    </row>
    <row r="11" spans="1:10">
      <c r="A11" s="167"/>
      <c r="B11" s="663"/>
      <c r="C11" s="663"/>
      <c r="D11" s="664"/>
      <c r="E11" s="664"/>
      <c r="F11" s="664"/>
      <c r="G11" s="664"/>
      <c r="H11" s="665"/>
      <c r="I11" s="666"/>
      <c r="J11" s="167"/>
    </row>
    <row r="12" spans="1:10">
      <c r="A12" s="167"/>
      <c r="B12" s="663"/>
      <c r="C12" s="663"/>
      <c r="D12" s="664"/>
      <c r="E12" s="664"/>
      <c r="F12" s="664"/>
      <c r="G12" s="664"/>
      <c r="H12" s="665"/>
      <c r="I12" s="666"/>
      <c r="J12" s="167"/>
    </row>
    <row r="13" spans="1:10">
      <c r="A13" s="167"/>
      <c r="B13" s="663"/>
      <c r="C13" s="663"/>
      <c r="D13" s="664"/>
      <c r="E13" s="664"/>
      <c r="F13" s="664"/>
      <c r="G13" s="664"/>
      <c r="H13" s="665"/>
      <c r="I13" s="666"/>
      <c r="J13" s="167"/>
    </row>
    <row r="14" spans="1:10">
      <c r="A14" s="167"/>
      <c r="B14" s="663"/>
      <c r="C14" s="663"/>
      <c r="D14" s="664"/>
      <c r="E14" s="664"/>
      <c r="F14" s="664"/>
      <c r="G14" s="664"/>
      <c r="H14" s="665"/>
      <c r="I14" s="666"/>
      <c r="J14" s="167"/>
    </row>
    <row r="15" spans="1:10">
      <c r="A15" s="167"/>
      <c r="B15" s="663"/>
      <c r="C15" s="663"/>
      <c r="D15" s="664"/>
      <c r="E15" s="664"/>
      <c r="F15" s="664"/>
      <c r="G15" s="664"/>
      <c r="H15" s="665"/>
      <c r="I15" s="666"/>
      <c r="J15" s="167"/>
    </row>
    <row r="16" spans="1:10">
      <c r="A16" s="167"/>
      <c r="B16" s="663"/>
      <c r="C16" s="663"/>
      <c r="D16" s="664"/>
      <c r="E16" s="664"/>
      <c r="F16" s="664"/>
      <c r="G16" s="664"/>
      <c r="H16" s="665"/>
      <c r="I16" s="666"/>
      <c r="J16" s="167"/>
    </row>
    <row r="17" spans="1:10">
      <c r="A17" s="167"/>
      <c r="B17" s="663"/>
      <c r="C17" s="663"/>
      <c r="D17" s="664"/>
      <c r="E17" s="664"/>
      <c r="F17" s="664"/>
      <c r="G17" s="664"/>
      <c r="H17" s="665"/>
      <c r="I17" s="666"/>
      <c r="J17" s="167"/>
    </row>
    <row r="18" spans="1:10">
      <c r="A18" s="167"/>
      <c r="B18" s="663"/>
      <c r="C18" s="663"/>
      <c r="D18" s="664"/>
      <c r="E18" s="664"/>
      <c r="F18" s="664"/>
      <c r="G18" s="664"/>
      <c r="H18" s="665"/>
      <c r="I18" s="666"/>
      <c r="J18" s="167"/>
    </row>
    <row r="19" spans="1:10">
      <c r="A19" s="167"/>
      <c r="B19" s="663" t="s">
        <v>338</v>
      </c>
      <c r="C19" s="663"/>
      <c r="D19" s="664">
        <f>SUM(D10:E18)</f>
        <v>0</v>
      </c>
      <c r="E19" s="664"/>
      <c r="F19" s="664">
        <f>SUM(F10:G18)</f>
        <v>0</v>
      </c>
      <c r="G19" s="664"/>
      <c r="H19" s="665">
        <f t="shared" ref="H19" si="0">+D19-F19</f>
        <v>0</v>
      </c>
      <c r="I19" s="666"/>
      <c r="J19" s="167"/>
    </row>
    <row r="20" spans="1:10">
      <c r="A20" s="167"/>
      <c r="B20" s="663"/>
      <c r="C20" s="663"/>
      <c r="D20" s="663"/>
      <c r="E20" s="663"/>
      <c r="F20" s="663"/>
      <c r="G20" s="663"/>
      <c r="H20" s="663"/>
      <c r="I20" s="663"/>
      <c r="J20" s="167"/>
    </row>
    <row r="21" spans="1:10">
      <c r="A21" s="167"/>
      <c r="B21" s="630" t="s">
        <v>339</v>
      </c>
      <c r="C21" s="631"/>
      <c r="D21" s="631"/>
      <c r="E21" s="631"/>
      <c r="F21" s="631"/>
      <c r="G21" s="631"/>
      <c r="H21" s="631"/>
      <c r="I21" s="632"/>
      <c r="J21" s="167"/>
    </row>
    <row r="22" spans="1:10">
      <c r="A22" s="167"/>
      <c r="B22" s="663"/>
      <c r="C22" s="663"/>
      <c r="D22" s="664"/>
      <c r="E22" s="664"/>
      <c r="F22" s="664"/>
      <c r="G22" s="664"/>
      <c r="H22" s="663"/>
      <c r="I22" s="663"/>
      <c r="J22" s="167"/>
    </row>
    <row r="23" spans="1:10">
      <c r="A23" s="167"/>
      <c r="B23" s="663"/>
      <c r="C23" s="663"/>
      <c r="D23" s="664"/>
      <c r="E23" s="664"/>
      <c r="F23" s="664"/>
      <c r="G23" s="664"/>
      <c r="H23" s="665"/>
      <c r="I23" s="666"/>
      <c r="J23" s="167"/>
    </row>
    <row r="24" spans="1:10">
      <c r="A24" s="167"/>
      <c r="B24" s="663"/>
      <c r="C24" s="663"/>
      <c r="D24" s="664"/>
      <c r="E24" s="664"/>
      <c r="F24" s="664"/>
      <c r="G24" s="664"/>
      <c r="H24" s="665"/>
      <c r="I24" s="666"/>
      <c r="J24" s="167"/>
    </row>
    <row r="25" spans="1:10">
      <c r="A25" s="167"/>
      <c r="B25" s="663"/>
      <c r="C25" s="663"/>
      <c r="D25" s="664"/>
      <c r="E25" s="664"/>
      <c r="F25" s="664"/>
      <c r="G25" s="664"/>
      <c r="H25" s="665"/>
      <c r="I25" s="666"/>
      <c r="J25" s="167"/>
    </row>
    <row r="26" spans="1:10">
      <c r="A26" s="167"/>
      <c r="B26" s="663"/>
      <c r="C26" s="663"/>
      <c r="D26" s="664"/>
      <c r="E26" s="664"/>
      <c r="F26" s="664"/>
      <c r="G26" s="664"/>
      <c r="H26" s="665"/>
      <c r="I26" s="666"/>
      <c r="J26" s="167"/>
    </row>
    <row r="27" spans="1:10">
      <c r="A27" s="167"/>
      <c r="B27" s="663"/>
      <c r="C27" s="663"/>
      <c r="D27" s="664"/>
      <c r="E27" s="664"/>
      <c r="F27" s="664"/>
      <c r="G27" s="664"/>
      <c r="H27" s="665"/>
      <c r="I27" s="666"/>
      <c r="J27" s="167"/>
    </row>
    <row r="28" spans="1:10">
      <c r="A28" s="167"/>
      <c r="B28" s="663"/>
      <c r="C28" s="663"/>
      <c r="D28" s="664"/>
      <c r="E28" s="664"/>
      <c r="F28" s="664"/>
      <c r="G28" s="664"/>
      <c r="H28" s="665"/>
      <c r="I28" s="666"/>
      <c r="J28" s="167"/>
    </row>
    <row r="29" spans="1:10">
      <c r="A29" s="167"/>
      <c r="B29" s="663"/>
      <c r="C29" s="663"/>
      <c r="D29" s="664"/>
      <c r="E29" s="664"/>
      <c r="F29" s="664"/>
      <c r="G29" s="664"/>
      <c r="H29" s="665"/>
      <c r="I29" s="666"/>
      <c r="J29" s="167"/>
    </row>
    <row r="30" spans="1:10">
      <c r="A30" s="167"/>
      <c r="B30" s="663"/>
      <c r="C30" s="663"/>
      <c r="D30" s="664"/>
      <c r="E30" s="664"/>
      <c r="F30" s="664"/>
      <c r="G30" s="664"/>
      <c r="H30" s="665"/>
      <c r="I30" s="666"/>
      <c r="J30" s="167"/>
    </row>
    <row r="31" spans="1:10">
      <c r="A31" s="167"/>
      <c r="B31" s="663" t="s">
        <v>340</v>
      </c>
      <c r="C31" s="663"/>
      <c r="D31" s="664">
        <f>SUM(D22:E30)</f>
        <v>0</v>
      </c>
      <c r="E31" s="664"/>
      <c r="F31" s="664">
        <f>SUM(F22:G30)</f>
        <v>0</v>
      </c>
      <c r="G31" s="664"/>
      <c r="H31" s="664">
        <f>+D31-F31</f>
        <v>0</v>
      </c>
      <c r="I31" s="664"/>
      <c r="J31" s="167"/>
    </row>
    <row r="32" spans="1:10">
      <c r="A32" s="167"/>
      <c r="B32" s="663"/>
      <c r="C32" s="663"/>
      <c r="D32" s="664"/>
      <c r="E32" s="664"/>
      <c r="F32" s="664"/>
      <c r="G32" s="664"/>
      <c r="H32" s="664"/>
      <c r="I32" s="664"/>
      <c r="J32" s="167"/>
    </row>
    <row r="33" spans="1:10">
      <c r="A33" s="167"/>
      <c r="B33" s="667" t="s">
        <v>139</v>
      </c>
      <c r="C33" s="668"/>
      <c r="D33" s="665">
        <f>+D19+D31</f>
        <v>0</v>
      </c>
      <c r="E33" s="666"/>
      <c r="F33" s="665">
        <f>+F19+F31</f>
        <v>0</v>
      </c>
      <c r="G33" s="666"/>
      <c r="H33" s="665">
        <f>+H19+H31</f>
        <v>0</v>
      </c>
      <c r="I33" s="666"/>
      <c r="J33" s="167"/>
    </row>
    <row r="34" spans="1:10">
      <c r="A34" s="167"/>
      <c r="B34" s="167"/>
      <c r="C34" s="167"/>
      <c r="D34" s="167"/>
      <c r="E34" s="167"/>
      <c r="F34" s="167"/>
      <c r="G34" s="167"/>
      <c r="H34" s="167"/>
      <c r="I34" s="167"/>
      <c r="J34" s="16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627" t="s">
        <v>1018</v>
      </c>
      <c r="B1" s="628"/>
      <c r="C1" s="629"/>
    </row>
    <row r="2" spans="1:3">
      <c r="A2" s="630" t="s">
        <v>409</v>
      </c>
      <c r="B2" s="631"/>
      <c r="C2" s="632"/>
    </row>
    <row r="3" spans="1:3">
      <c r="A3" s="630" t="s">
        <v>341</v>
      </c>
      <c r="B3" s="631"/>
      <c r="C3" s="632"/>
    </row>
    <row r="4" spans="1:3">
      <c r="A4" s="633" t="s">
        <v>1020</v>
      </c>
      <c r="B4" s="634"/>
      <c r="C4" s="635"/>
    </row>
    <row r="5" spans="1:3">
      <c r="A5" s="78"/>
      <c r="B5" s="78"/>
    </row>
    <row r="6" spans="1:3">
      <c r="A6" s="171" t="s">
        <v>330</v>
      </c>
      <c r="B6" s="171" t="s">
        <v>213</v>
      </c>
      <c r="C6" s="171" t="s">
        <v>240</v>
      </c>
    </row>
    <row r="7" spans="1:3">
      <c r="A7" s="669" t="s">
        <v>337</v>
      </c>
      <c r="B7" s="670"/>
      <c r="C7" s="671"/>
    </row>
    <row r="8" spans="1:3">
      <c r="A8" s="172"/>
      <c r="B8" s="172"/>
      <c r="C8" s="172"/>
    </row>
    <row r="9" spans="1:3">
      <c r="A9" s="172"/>
      <c r="B9" s="172"/>
      <c r="C9" s="172"/>
    </row>
    <row r="10" spans="1:3">
      <c r="A10" s="172"/>
      <c r="B10" s="172"/>
      <c r="C10" s="172"/>
    </row>
    <row r="11" spans="1:3">
      <c r="A11" s="172"/>
      <c r="B11" s="172"/>
      <c r="C11" s="172"/>
    </row>
    <row r="12" spans="1:3">
      <c r="A12" s="172"/>
      <c r="B12" s="172"/>
      <c r="C12" s="172"/>
    </row>
    <row r="13" spans="1:3">
      <c r="A13" s="172"/>
      <c r="B13" s="172"/>
      <c r="C13" s="172"/>
    </row>
    <row r="14" spans="1:3">
      <c r="A14" s="172"/>
      <c r="B14" s="172"/>
      <c r="C14" s="172"/>
    </row>
    <row r="15" spans="1:3">
      <c r="A15" s="172"/>
      <c r="B15" s="172"/>
      <c r="C15" s="172"/>
    </row>
    <row r="16" spans="1:3">
      <c r="A16" s="172"/>
      <c r="B16" s="172"/>
      <c r="C16" s="172"/>
    </row>
    <row r="17" spans="1:3">
      <c r="A17" s="172"/>
      <c r="B17" s="172"/>
      <c r="C17" s="172"/>
    </row>
    <row r="18" spans="1:3">
      <c r="A18" s="174" t="s">
        <v>342</v>
      </c>
      <c r="B18" s="172">
        <f>SUM(B8:B17)</f>
        <v>0</v>
      </c>
      <c r="C18" s="172">
        <f>SUM(C8:C17)</f>
        <v>0</v>
      </c>
    </row>
    <row r="19" spans="1:3">
      <c r="A19" s="172"/>
      <c r="B19" s="172"/>
      <c r="C19" s="173"/>
    </row>
    <row r="20" spans="1:3">
      <c r="A20" s="669" t="s">
        <v>339</v>
      </c>
      <c r="B20" s="670"/>
      <c r="C20" s="671"/>
    </row>
    <row r="21" spans="1:3">
      <c r="A21" s="172"/>
      <c r="B21" s="172"/>
      <c r="C21" s="172"/>
    </row>
    <row r="22" spans="1:3">
      <c r="A22" s="172"/>
      <c r="B22" s="172"/>
      <c r="C22" s="172"/>
    </row>
    <row r="23" spans="1:3">
      <c r="A23" s="172"/>
      <c r="B23" s="172"/>
      <c r="C23" s="172"/>
    </row>
    <row r="24" spans="1:3">
      <c r="A24" s="172"/>
      <c r="B24" s="172"/>
      <c r="C24" s="172"/>
    </row>
    <row r="25" spans="1:3">
      <c r="A25" s="172"/>
      <c r="B25" s="172"/>
      <c r="C25" s="172"/>
    </row>
    <row r="26" spans="1:3">
      <c r="A26" s="172"/>
      <c r="B26" s="172"/>
      <c r="C26" s="172"/>
    </row>
    <row r="27" spans="1:3">
      <c r="A27" s="172"/>
      <c r="B27" s="172"/>
      <c r="C27" s="172"/>
    </row>
    <row r="28" spans="1:3">
      <c r="A28" s="172"/>
      <c r="B28" s="172"/>
      <c r="C28" s="172"/>
    </row>
    <row r="29" spans="1:3">
      <c r="A29" s="172"/>
      <c r="B29" s="172"/>
      <c r="C29" s="172"/>
    </row>
    <row r="30" spans="1:3">
      <c r="A30" s="172"/>
      <c r="B30" s="172"/>
      <c r="C30" s="172"/>
    </row>
    <row r="31" spans="1:3">
      <c r="A31" s="172"/>
      <c r="B31" s="172"/>
      <c r="C31" s="173"/>
    </row>
    <row r="32" spans="1:3">
      <c r="A32" s="172"/>
      <c r="B32" s="172"/>
      <c r="C32" s="173"/>
    </row>
    <row r="33" spans="1:3">
      <c r="A33" s="174" t="s">
        <v>343</v>
      </c>
      <c r="B33" s="172">
        <f>SUM(B21:B32)</f>
        <v>0</v>
      </c>
      <c r="C33" s="172">
        <f>SUM(C21:C32)</f>
        <v>0</v>
      </c>
    </row>
    <row r="34" spans="1:3">
      <c r="A34" s="172"/>
      <c r="B34" s="172"/>
      <c r="C34" s="173"/>
    </row>
    <row r="35" spans="1:3">
      <c r="A35" s="174" t="s">
        <v>139</v>
      </c>
      <c r="B35" s="175">
        <f>+B18+B33</f>
        <v>0</v>
      </c>
      <c r="C35" s="175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G11" sqref="G11"/>
    </sheetView>
  </sheetViews>
  <sheetFormatPr baseColWidth="10" defaultRowHeight="15"/>
  <cols>
    <col min="1" max="1" width="1.140625" customWidth="1"/>
    <col min="2" max="2" width="57" customWidth="1"/>
    <col min="6" max="6" width="4.28515625" style="114" customWidth="1"/>
  </cols>
  <sheetData>
    <row r="1" spans="1:5">
      <c r="A1" s="627" t="s">
        <v>408</v>
      </c>
      <c r="B1" s="628"/>
      <c r="C1" s="628"/>
      <c r="D1" s="628"/>
      <c r="E1" s="628"/>
    </row>
    <row r="2" spans="1:5">
      <c r="A2" s="630" t="s">
        <v>376</v>
      </c>
      <c r="B2" s="631"/>
      <c r="C2" s="631"/>
      <c r="D2" s="631"/>
      <c r="E2" s="631"/>
    </row>
    <row r="3" spans="1:5">
      <c r="A3" s="633" t="s">
        <v>1020</v>
      </c>
      <c r="B3" s="634"/>
      <c r="C3" s="634"/>
      <c r="D3" s="634"/>
      <c r="E3" s="634"/>
    </row>
    <row r="4" spans="1:5" ht="6" customHeight="1">
      <c r="A4" s="78"/>
      <c r="B4" s="78"/>
      <c r="C4" s="78"/>
      <c r="D4" s="78"/>
      <c r="E4" s="78"/>
    </row>
    <row r="5" spans="1:5">
      <c r="A5" s="650" t="s">
        <v>76</v>
      </c>
      <c r="B5" s="650"/>
      <c r="C5" s="115" t="s">
        <v>210</v>
      </c>
      <c r="D5" s="115" t="s">
        <v>213</v>
      </c>
      <c r="E5" s="115" t="s">
        <v>377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63"/>
      <c r="B7" s="164" t="s">
        <v>378</v>
      </c>
      <c r="C7" s="176">
        <f>+C8+C9</f>
        <v>2516000</v>
      </c>
      <c r="D7" s="176">
        <f t="shared" ref="D7:E7" si="0">+D8+D9</f>
        <v>612000</v>
      </c>
      <c r="E7" s="176">
        <f t="shared" si="0"/>
        <v>612000</v>
      </c>
    </row>
    <row r="8" spans="1:5">
      <c r="A8" s="672" t="s">
        <v>401</v>
      </c>
      <c r="B8" s="673"/>
      <c r="C8" s="162"/>
      <c r="D8" s="162"/>
      <c r="E8" s="162"/>
    </row>
    <row r="9" spans="1:5">
      <c r="A9" s="674" t="s">
        <v>402</v>
      </c>
      <c r="B9" s="675"/>
      <c r="C9" s="177">
        <f>+EAI!E33</f>
        <v>2516000</v>
      </c>
      <c r="D9" s="177">
        <v>612000</v>
      </c>
      <c r="E9" s="177">
        <v>612000</v>
      </c>
    </row>
    <row r="10" spans="1:5" ht="6.75" customHeight="1" thickBot="1">
      <c r="A10" s="116"/>
      <c r="B10" s="117"/>
      <c r="C10" s="136"/>
      <c r="D10" s="136"/>
      <c r="E10" s="136"/>
    </row>
    <row r="11" spans="1:5" ht="15.75" thickBot="1">
      <c r="A11" s="165"/>
      <c r="B11" s="164" t="s">
        <v>379</v>
      </c>
      <c r="C11" s="176">
        <f>+C12+C13</f>
        <v>2516000</v>
      </c>
      <c r="D11" s="176">
        <f t="shared" ref="D11:E11" si="1">+D12+D13</f>
        <v>438032</v>
      </c>
      <c r="E11" s="176">
        <f t="shared" si="1"/>
        <v>438032</v>
      </c>
    </row>
    <row r="12" spans="1:5">
      <c r="A12" s="676" t="s">
        <v>403</v>
      </c>
      <c r="B12" s="677"/>
      <c r="C12" s="162"/>
      <c r="D12" s="162"/>
      <c r="E12" s="162"/>
    </row>
    <row r="13" spans="1:5">
      <c r="A13" s="674" t="s">
        <v>404</v>
      </c>
      <c r="B13" s="675"/>
      <c r="C13" s="162">
        <v>2516000</v>
      </c>
      <c r="D13" s="162">
        <v>438032</v>
      </c>
      <c r="E13" s="162">
        <v>438032</v>
      </c>
    </row>
    <row r="14" spans="1:5" ht="5.25" customHeight="1" thickBot="1">
      <c r="A14" s="133"/>
      <c r="B14" s="132"/>
      <c r="C14" s="136"/>
      <c r="D14" s="136"/>
      <c r="E14" s="136"/>
    </row>
    <row r="15" spans="1:5" ht="15.75" thickBot="1">
      <c r="A15" s="163"/>
      <c r="B15" s="164" t="s">
        <v>380</v>
      </c>
      <c r="C15" s="176">
        <f>+C7-C11</f>
        <v>0</v>
      </c>
      <c r="D15" s="176">
        <f t="shared" ref="D15:E15" si="2">+D7-D11</f>
        <v>173968</v>
      </c>
      <c r="E15" s="176">
        <f t="shared" si="2"/>
        <v>173968</v>
      </c>
    </row>
    <row r="16" spans="1:5">
      <c r="A16" s="78"/>
      <c r="B16" s="78"/>
      <c r="C16" s="78"/>
      <c r="D16" s="78"/>
      <c r="E16" s="78"/>
    </row>
    <row r="17" spans="1:5">
      <c r="A17" s="650" t="s">
        <v>76</v>
      </c>
      <c r="B17" s="650"/>
      <c r="C17" s="115" t="s">
        <v>210</v>
      </c>
      <c r="D17" s="115" t="s">
        <v>213</v>
      </c>
      <c r="E17" s="115" t="s">
        <v>377</v>
      </c>
    </row>
    <row r="18" spans="1:5" ht="6.75" customHeight="1">
      <c r="A18" s="129"/>
      <c r="B18" s="130"/>
      <c r="C18" s="131"/>
      <c r="D18" s="131"/>
      <c r="E18" s="131"/>
    </row>
    <row r="19" spans="1:5">
      <c r="A19" s="678" t="s">
        <v>381</v>
      </c>
      <c r="B19" s="679"/>
      <c r="C19" s="177">
        <f>+C15</f>
        <v>0</v>
      </c>
      <c r="D19" s="177">
        <f t="shared" ref="D19:E19" si="3">+D15</f>
        <v>173968</v>
      </c>
      <c r="E19" s="177">
        <f t="shared" si="3"/>
        <v>173968</v>
      </c>
    </row>
    <row r="20" spans="1:5" ht="6" customHeight="1">
      <c r="A20" s="116"/>
      <c r="B20" s="117"/>
      <c r="C20" s="136"/>
      <c r="D20" s="136"/>
      <c r="E20" s="136"/>
    </row>
    <row r="21" spans="1:5">
      <c r="A21" s="678" t="s">
        <v>382</v>
      </c>
      <c r="B21" s="679"/>
      <c r="C21" s="177"/>
      <c r="D21" s="177"/>
      <c r="E21" s="177"/>
    </row>
    <row r="22" spans="1:5" ht="7.5" customHeight="1" thickBot="1">
      <c r="A22" s="133"/>
      <c r="B22" s="132"/>
      <c r="C22" s="136"/>
      <c r="D22" s="136"/>
      <c r="E22" s="136"/>
    </row>
    <row r="23" spans="1:5" ht="15.75" thickBot="1">
      <c r="A23" s="165"/>
      <c r="B23" s="164" t="s">
        <v>383</v>
      </c>
      <c r="C23" s="178">
        <f>+C19-C21</f>
        <v>0</v>
      </c>
      <c r="D23" s="178">
        <f t="shared" ref="D23:E23" si="4">+D19-D21</f>
        <v>173968</v>
      </c>
      <c r="E23" s="178">
        <f t="shared" si="4"/>
        <v>173968</v>
      </c>
    </row>
    <row r="24" spans="1:5">
      <c r="A24" s="78"/>
      <c r="B24" s="78"/>
      <c r="C24" s="78"/>
      <c r="D24" s="78"/>
      <c r="E24" s="78"/>
    </row>
    <row r="25" spans="1:5">
      <c r="A25" s="650" t="s">
        <v>76</v>
      </c>
      <c r="B25" s="650"/>
      <c r="C25" s="115" t="s">
        <v>210</v>
      </c>
      <c r="D25" s="115" t="s">
        <v>213</v>
      </c>
      <c r="E25" s="115" t="s">
        <v>377</v>
      </c>
    </row>
    <row r="26" spans="1:5" ht="5.25" customHeight="1">
      <c r="A26" s="129"/>
      <c r="B26" s="130"/>
      <c r="C26" s="131"/>
      <c r="D26" s="131"/>
      <c r="E26" s="131"/>
    </row>
    <row r="27" spans="1:5">
      <c r="A27" s="678" t="s">
        <v>384</v>
      </c>
      <c r="B27" s="679"/>
      <c r="C27" s="177">
        <f>+EAI!E52</f>
        <v>0</v>
      </c>
      <c r="D27" s="177">
        <f>+EAI!H51</f>
        <v>0</v>
      </c>
      <c r="E27" s="177">
        <f>+EAI!I54</f>
        <v>438032</v>
      </c>
    </row>
    <row r="28" spans="1:5" ht="5.25" customHeight="1">
      <c r="A28" s="116"/>
      <c r="B28" s="117"/>
      <c r="C28" s="136"/>
      <c r="D28" s="136"/>
      <c r="E28" s="136"/>
    </row>
    <row r="29" spans="1:5">
      <c r="A29" s="678" t="s">
        <v>385</v>
      </c>
      <c r="B29" s="679"/>
      <c r="C29" s="177"/>
      <c r="D29" s="177"/>
      <c r="E29" s="177"/>
    </row>
    <row r="30" spans="1:5" ht="3.75" customHeight="1" thickBot="1">
      <c r="A30" s="134"/>
      <c r="B30" s="135"/>
      <c r="C30" s="162"/>
      <c r="D30" s="162"/>
      <c r="E30" s="162"/>
    </row>
    <row r="31" spans="1:5" ht="15.75" thickBot="1">
      <c r="A31" s="165"/>
      <c r="B31" s="164" t="s">
        <v>386</v>
      </c>
      <c r="C31" s="178">
        <f>+C27-C29</f>
        <v>0</v>
      </c>
      <c r="D31" s="178">
        <f t="shared" ref="D31:E31" si="5">+D27-D29</f>
        <v>0</v>
      </c>
      <c r="E31" s="178">
        <f t="shared" si="5"/>
        <v>438032</v>
      </c>
    </row>
    <row r="32" spans="1:5" s="114" customFormat="1">
      <c r="A32" s="78"/>
      <c r="B32" s="78"/>
      <c r="C32" s="78"/>
      <c r="D32" s="78"/>
      <c r="E32" s="78"/>
    </row>
    <row r="33" spans="1:5" ht="23.25" customHeight="1">
      <c r="A33" s="78"/>
      <c r="B33" s="680" t="s">
        <v>387</v>
      </c>
      <c r="C33" s="680"/>
      <c r="D33" s="680"/>
      <c r="E33" s="680"/>
    </row>
    <row r="34" spans="1:5" ht="28.5" customHeight="1">
      <c r="A34" s="78"/>
      <c r="B34" s="680" t="s">
        <v>388</v>
      </c>
      <c r="C34" s="680"/>
      <c r="D34" s="680"/>
      <c r="E34" s="680"/>
    </row>
    <row r="35" spans="1:5">
      <c r="A35" s="78"/>
      <c r="B35" s="681" t="s">
        <v>389</v>
      </c>
      <c r="C35" s="681"/>
      <c r="D35" s="681"/>
      <c r="E35" s="681"/>
    </row>
    <row r="36" spans="1:5" s="11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opLeftCell="A19" workbookViewId="0">
      <selection activeCell="I14" sqref="I14"/>
    </sheetView>
  </sheetViews>
  <sheetFormatPr baseColWidth="10" defaultRowHeight="15"/>
  <cols>
    <col min="1" max="1" width="2.140625" style="114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4" customWidth="1"/>
  </cols>
  <sheetData>
    <row r="1" spans="2:10" s="114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627" t="s">
        <v>1018</v>
      </c>
      <c r="C2" s="628"/>
      <c r="D2" s="628"/>
      <c r="E2" s="628"/>
      <c r="F2" s="628"/>
      <c r="G2" s="628"/>
      <c r="H2" s="628"/>
      <c r="I2" s="628"/>
      <c r="J2" s="629"/>
    </row>
    <row r="3" spans="2:10">
      <c r="B3" s="627" t="s">
        <v>408</v>
      </c>
      <c r="C3" s="628"/>
      <c r="D3" s="628"/>
      <c r="E3" s="628"/>
      <c r="F3" s="628"/>
      <c r="G3" s="628"/>
      <c r="H3" s="628"/>
      <c r="I3" s="628"/>
      <c r="J3" s="629"/>
    </row>
    <row r="4" spans="2:10">
      <c r="B4" s="630" t="s">
        <v>344</v>
      </c>
      <c r="C4" s="631"/>
      <c r="D4" s="631"/>
      <c r="E4" s="631"/>
      <c r="F4" s="631"/>
      <c r="G4" s="631"/>
      <c r="H4" s="631"/>
      <c r="I4" s="631"/>
      <c r="J4" s="632"/>
    </row>
    <row r="5" spans="2:10">
      <c r="B5" s="633" t="s">
        <v>1021</v>
      </c>
      <c r="C5" s="634"/>
      <c r="D5" s="634"/>
      <c r="E5" s="634"/>
      <c r="F5" s="634"/>
      <c r="G5" s="634"/>
      <c r="H5" s="634"/>
      <c r="I5" s="634"/>
      <c r="J5" s="635"/>
    </row>
    <row r="6" spans="2:10" s="114" customFormat="1" ht="2.25" customHeight="1">
      <c r="B6" s="156"/>
      <c r="C6" s="156"/>
      <c r="D6" s="156"/>
      <c r="E6" s="156"/>
      <c r="F6" s="156"/>
      <c r="G6" s="156"/>
      <c r="H6" s="156"/>
      <c r="I6" s="156"/>
      <c r="J6" s="156"/>
    </row>
    <row r="7" spans="2:10">
      <c r="B7" s="654" t="s">
        <v>76</v>
      </c>
      <c r="C7" s="684"/>
      <c r="D7" s="655"/>
      <c r="E7" s="651" t="s">
        <v>245</v>
      </c>
      <c r="F7" s="651"/>
      <c r="G7" s="651"/>
      <c r="H7" s="651"/>
      <c r="I7" s="651"/>
      <c r="J7" s="651" t="s">
        <v>237</v>
      </c>
    </row>
    <row r="8" spans="2:10" ht="22.5">
      <c r="B8" s="656"/>
      <c r="C8" s="685"/>
      <c r="D8" s="657"/>
      <c r="E8" s="115" t="s">
        <v>238</v>
      </c>
      <c r="F8" s="115" t="s">
        <v>239</v>
      </c>
      <c r="G8" s="115" t="s">
        <v>212</v>
      </c>
      <c r="H8" s="115" t="s">
        <v>213</v>
      </c>
      <c r="I8" s="115" t="s">
        <v>240</v>
      </c>
      <c r="J8" s="651"/>
    </row>
    <row r="9" spans="2:10" ht="15.75" customHeight="1">
      <c r="B9" s="658"/>
      <c r="C9" s="686"/>
      <c r="D9" s="659"/>
      <c r="E9" s="115">
        <v>1</v>
      </c>
      <c r="F9" s="115">
        <v>2</v>
      </c>
      <c r="G9" s="115" t="s">
        <v>241</v>
      </c>
      <c r="H9" s="115">
        <v>4</v>
      </c>
      <c r="I9" s="115">
        <v>5</v>
      </c>
      <c r="J9" s="115" t="s">
        <v>242</v>
      </c>
    </row>
    <row r="10" spans="2:10" ht="15" customHeight="1">
      <c r="B10" s="687" t="s">
        <v>345</v>
      </c>
      <c r="C10" s="688"/>
      <c r="D10" s="689"/>
      <c r="E10" s="161"/>
      <c r="F10" s="136"/>
      <c r="G10" s="136"/>
      <c r="H10" s="136"/>
      <c r="I10" s="136"/>
      <c r="J10" s="136"/>
    </row>
    <row r="11" spans="2:10">
      <c r="B11" s="116"/>
      <c r="C11" s="682" t="s">
        <v>346</v>
      </c>
      <c r="D11" s="683"/>
      <c r="E11" s="529">
        <f>+E12+E13</f>
        <v>2516000</v>
      </c>
      <c r="F11" s="529">
        <f>+F12+F13</f>
        <v>0</v>
      </c>
      <c r="G11" s="518">
        <f>+E11+F11</f>
        <v>2516000</v>
      </c>
      <c r="H11" s="529">
        <f t="shared" ref="H11:I11" si="0">+H12+H13</f>
        <v>438032</v>
      </c>
      <c r="I11" s="529">
        <f t="shared" si="0"/>
        <v>438032</v>
      </c>
      <c r="J11" s="518">
        <f>+G11-H11</f>
        <v>2077968</v>
      </c>
    </row>
    <row r="12" spans="2:10">
      <c r="B12" s="116"/>
      <c r="C12" s="157"/>
      <c r="D12" s="117" t="s">
        <v>347</v>
      </c>
      <c r="E12" s="530">
        <v>0</v>
      </c>
      <c r="F12" s="519">
        <v>0</v>
      </c>
      <c r="G12" s="519">
        <f t="shared" ref="G12:G39" si="1">+E12+F12</f>
        <v>0</v>
      </c>
      <c r="H12" s="519">
        <v>0</v>
      </c>
      <c r="I12" s="519">
        <v>0</v>
      </c>
      <c r="J12" s="519">
        <f t="shared" ref="J12:J39" si="2">+G12-H12</f>
        <v>0</v>
      </c>
    </row>
    <row r="13" spans="2:10">
      <c r="B13" s="116"/>
      <c r="C13" s="157"/>
      <c r="D13" s="117" t="s">
        <v>348</v>
      </c>
      <c r="E13" s="530">
        <v>2516000</v>
      </c>
      <c r="F13" s="519">
        <v>0</v>
      </c>
      <c r="G13" s="519">
        <f t="shared" si="1"/>
        <v>2516000</v>
      </c>
      <c r="H13" s="519">
        <v>438032</v>
      </c>
      <c r="I13" s="519">
        <v>438032</v>
      </c>
      <c r="J13" s="519">
        <f t="shared" si="2"/>
        <v>2077968</v>
      </c>
    </row>
    <row r="14" spans="2:10">
      <c r="B14" s="116"/>
      <c r="C14" s="682" t="s">
        <v>349</v>
      </c>
      <c r="D14" s="683"/>
      <c r="E14" s="529">
        <f>SUM(E15:E22)</f>
        <v>0</v>
      </c>
      <c r="F14" s="529">
        <f>SUM(F15:F22)</f>
        <v>0</v>
      </c>
      <c r="G14" s="518">
        <f t="shared" si="1"/>
        <v>0</v>
      </c>
      <c r="H14" s="529">
        <f t="shared" ref="H14:I14" si="3">SUM(H15:H22)</f>
        <v>0</v>
      </c>
      <c r="I14" s="529">
        <f t="shared" si="3"/>
        <v>0</v>
      </c>
      <c r="J14" s="518">
        <f t="shared" si="2"/>
        <v>0</v>
      </c>
    </row>
    <row r="15" spans="2:10">
      <c r="B15" s="116"/>
      <c r="C15" s="157"/>
      <c r="D15" s="117" t="s">
        <v>350</v>
      </c>
      <c r="E15" s="530">
        <v>0</v>
      </c>
      <c r="F15" s="530">
        <v>0</v>
      </c>
      <c r="G15" s="519">
        <f t="shared" si="1"/>
        <v>0</v>
      </c>
      <c r="H15" s="530">
        <v>0</v>
      </c>
      <c r="I15" s="530">
        <v>0</v>
      </c>
      <c r="J15" s="519">
        <f t="shared" si="2"/>
        <v>0</v>
      </c>
    </row>
    <row r="16" spans="2:10">
      <c r="B16" s="116"/>
      <c r="C16" s="157"/>
      <c r="D16" s="117" t="s">
        <v>351</v>
      </c>
      <c r="E16" s="530">
        <v>0</v>
      </c>
      <c r="F16" s="530">
        <v>0</v>
      </c>
      <c r="G16" s="519">
        <f t="shared" si="1"/>
        <v>0</v>
      </c>
      <c r="H16" s="530">
        <v>0</v>
      </c>
      <c r="I16" s="530">
        <v>0</v>
      </c>
      <c r="J16" s="519">
        <f t="shared" si="2"/>
        <v>0</v>
      </c>
    </row>
    <row r="17" spans="2:10">
      <c r="B17" s="116"/>
      <c r="C17" s="157"/>
      <c r="D17" s="117" t="s">
        <v>352</v>
      </c>
      <c r="E17" s="530">
        <v>0</v>
      </c>
      <c r="F17" s="530">
        <v>0</v>
      </c>
      <c r="G17" s="519">
        <f t="shared" si="1"/>
        <v>0</v>
      </c>
      <c r="H17" s="530">
        <v>0</v>
      </c>
      <c r="I17" s="530">
        <v>0</v>
      </c>
      <c r="J17" s="519">
        <f t="shared" si="2"/>
        <v>0</v>
      </c>
    </row>
    <row r="18" spans="2:10">
      <c r="B18" s="116"/>
      <c r="C18" s="157"/>
      <c r="D18" s="117" t="s">
        <v>353</v>
      </c>
      <c r="E18" s="530">
        <v>0</v>
      </c>
      <c r="F18" s="530">
        <v>0</v>
      </c>
      <c r="G18" s="519">
        <f t="shared" si="1"/>
        <v>0</v>
      </c>
      <c r="H18" s="530">
        <v>0</v>
      </c>
      <c r="I18" s="530">
        <v>0</v>
      </c>
      <c r="J18" s="519">
        <f t="shared" si="2"/>
        <v>0</v>
      </c>
    </row>
    <row r="19" spans="2:10">
      <c r="B19" s="116"/>
      <c r="C19" s="157"/>
      <c r="D19" s="117" t="s">
        <v>354</v>
      </c>
      <c r="E19" s="530">
        <v>0</v>
      </c>
      <c r="F19" s="530">
        <v>0</v>
      </c>
      <c r="G19" s="519">
        <f t="shared" si="1"/>
        <v>0</v>
      </c>
      <c r="H19" s="530">
        <v>0</v>
      </c>
      <c r="I19" s="530">
        <v>0</v>
      </c>
      <c r="J19" s="519">
        <f t="shared" si="2"/>
        <v>0</v>
      </c>
    </row>
    <row r="20" spans="2:10">
      <c r="B20" s="116"/>
      <c r="C20" s="157"/>
      <c r="D20" s="117" t="s">
        <v>355</v>
      </c>
      <c r="E20" s="530">
        <v>0</v>
      </c>
      <c r="F20" s="530">
        <v>0</v>
      </c>
      <c r="G20" s="519">
        <f t="shared" si="1"/>
        <v>0</v>
      </c>
      <c r="H20" s="530">
        <v>0</v>
      </c>
      <c r="I20" s="530">
        <v>0</v>
      </c>
      <c r="J20" s="519">
        <f t="shared" si="2"/>
        <v>0</v>
      </c>
    </row>
    <row r="21" spans="2:10">
      <c r="B21" s="116"/>
      <c r="C21" s="157"/>
      <c r="D21" s="117" t="s">
        <v>356</v>
      </c>
      <c r="E21" s="530">
        <v>0</v>
      </c>
      <c r="F21" s="530">
        <v>0</v>
      </c>
      <c r="G21" s="519">
        <f t="shared" si="1"/>
        <v>0</v>
      </c>
      <c r="H21" s="530">
        <v>0</v>
      </c>
      <c r="I21" s="530">
        <v>0</v>
      </c>
      <c r="J21" s="519">
        <f t="shared" si="2"/>
        <v>0</v>
      </c>
    </row>
    <row r="22" spans="2:10">
      <c r="B22" s="116"/>
      <c r="C22" s="157"/>
      <c r="D22" s="117" t="s">
        <v>357</v>
      </c>
      <c r="E22" s="530">
        <v>0</v>
      </c>
      <c r="F22" s="530">
        <v>0</v>
      </c>
      <c r="G22" s="519">
        <f t="shared" si="1"/>
        <v>0</v>
      </c>
      <c r="H22" s="530">
        <v>0</v>
      </c>
      <c r="I22" s="530">
        <v>0</v>
      </c>
      <c r="J22" s="519">
        <f t="shared" si="2"/>
        <v>0</v>
      </c>
    </row>
    <row r="23" spans="2:10">
      <c r="B23" s="116"/>
      <c r="C23" s="682" t="s">
        <v>358</v>
      </c>
      <c r="D23" s="683"/>
      <c r="E23" s="529">
        <f>SUM(E24:E26)</f>
        <v>0</v>
      </c>
      <c r="F23" s="529">
        <f>SUM(F24:F26)</f>
        <v>0</v>
      </c>
      <c r="G23" s="518">
        <f t="shared" si="1"/>
        <v>0</v>
      </c>
      <c r="H23" s="529">
        <f t="shared" ref="H23:I23" si="4">SUM(H24:H26)</f>
        <v>0</v>
      </c>
      <c r="I23" s="529">
        <f t="shared" si="4"/>
        <v>0</v>
      </c>
      <c r="J23" s="518">
        <f t="shared" si="2"/>
        <v>0</v>
      </c>
    </row>
    <row r="24" spans="2:10">
      <c r="B24" s="116"/>
      <c r="C24" s="157"/>
      <c r="D24" s="117" t="s">
        <v>359</v>
      </c>
      <c r="E24" s="530">
        <v>0</v>
      </c>
      <c r="F24" s="530">
        <v>0</v>
      </c>
      <c r="G24" s="519">
        <f t="shared" si="1"/>
        <v>0</v>
      </c>
      <c r="H24" s="530">
        <v>0</v>
      </c>
      <c r="I24" s="530">
        <v>0</v>
      </c>
      <c r="J24" s="519">
        <f t="shared" si="2"/>
        <v>0</v>
      </c>
    </row>
    <row r="25" spans="2:10">
      <c r="B25" s="116"/>
      <c r="C25" s="157"/>
      <c r="D25" s="117" t="s">
        <v>360</v>
      </c>
      <c r="E25" s="530">
        <v>0</v>
      </c>
      <c r="F25" s="530">
        <v>0</v>
      </c>
      <c r="G25" s="519">
        <f t="shared" si="1"/>
        <v>0</v>
      </c>
      <c r="H25" s="530">
        <v>0</v>
      </c>
      <c r="I25" s="530">
        <v>0</v>
      </c>
      <c r="J25" s="519">
        <f t="shared" si="2"/>
        <v>0</v>
      </c>
    </row>
    <row r="26" spans="2:10">
      <c r="B26" s="116"/>
      <c r="C26" s="157"/>
      <c r="D26" s="117" t="s">
        <v>361</v>
      </c>
      <c r="E26" s="530">
        <v>0</v>
      </c>
      <c r="F26" s="530">
        <v>0</v>
      </c>
      <c r="G26" s="519">
        <f t="shared" si="1"/>
        <v>0</v>
      </c>
      <c r="H26" s="530">
        <v>0</v>
      </c>
      <c r="I26" s="530">
        <v>0</v>
      </c>
      <c r="J26" s="519">
        <f t="shared" si="2"/>
        <v>0</v>
      </c>
    </row>
    <row r="27" spans="2:10">
      <c r="B27" s="116"/>
      <c r="C27" s="682" t="s">
        <v>362</v>
      </c>
      <c r="D27" s="683"/>
      <c r="E27" s="529">
        <f>SUM(E28:E29)</f>
        <v>0</v>
      </c>
      <c r="F27" s="529">
        <f>SUM(F28:F29)</f>
        <v>0</v>
      </c>
      <c r="G27" s="518">
        <f t="shared" si="1"/>
        <v>0</v>
      </c>
      <c r="H27" s="529">
        <f t="shared" ref="H27:I27" si="5">SUM(H28:H29)</f>
        <v>0</v>
      </c>
      <c r="I27" s="529">
        <f t="shared" si="5"/>
        <v>0</v>
      </c>
      <c r="J27" s="518">
        <f t="shared" si="2"/>
        <v>0</v>
      </c>
    </row>
    <row r="28" spans="2:10">
      <c r="B28" s="116"/>
      <c r="C28" s="157"/>
      <c r="D28" s="117" t="s">
        <v>363</v>
      </c>
      <c r="E28" s="530">
        <v>0</v>
      </c>
      <c r="F28" s="530">
        <v>0</v>
      </c>
      <c r="G28" s="519">
        <f t="shared" si="1"/>
        <v>0</v>
      </c>
      <c r="H28" s="530">
        <v>0</v>
      </c>
      <c r="I28" s="530">
        <v>0</v>
      </c>
      <c r="J28" s="519">
        <f t="shared" si="2"/>
        <v>0</v>
      </c>
    </row>
    <row r="29" spans="2:10">
      <c r="B29" s="116"/>
      <c r="C29" s="157"/>
      <c r="D29" s="117" t="s">
        <v>364</v>
      </c>
      <c r="E29" s="530">
        <v>0</v>
      </c>
      <c r="F29" s="530">
        <v>0</v>
      </c>
      <c r="G29" s="519">
        <f t="shared" si="1"/>
        <v>0</v>
      </c>
      <c r="H29" s="530">
        <v>0</v>
      </c>
      <c r="I29" s="530">
        <v>0</v>
      </c>
      <c r="J29" s="519">
        <f t="shared" si="2"/>
        <v>0</v>
      </c>
    </row>
    <row r="30" spans="2:10">
      <c r="B30" s="116"/>
      <c r="C30" s="682" t="s">
        <v>365</v>
      </c>
      <c r="D30" s="683"/>
      <c r="E30" s="529">
        <f>SUM(E31:E34)</f>
        <v>0</v>
      </c>
      <c r="F30" s="529">
        <f>SUM(F31:F34)</f>
        <v>0</v>
      </c>
      <c r="G30" s="518">
        <f t="shared" si="1"/>
        <v>0</v>
      </c>
      <c r="H30" s="529">
        <f t="shared" ref="H30:I30" si="6">SUM(H31:H34)</f>
        <v>0</v>
      </c>
      <c r="I30" s="529">
        <f t="shared" si="6"/>
        <v>0</v>
      </c>
      <c r="J30" s="518">
        <f t="shared" si="2"/>
        <v>0</v>
      </c>
    </row>
    <row r="31" spans="2:10">
      <c r="B31" s="116"/>
      <c r="C31" s="157"/>
      <c r="D31" s="117" t="s">
        <v>366</v>
      </c>
      <c r="E31" s="530">
        <v>0</v>
      </c>
      <c r="F31" s="530">
        <v>0</v>
      </c>
      <c r="G31" s="519">
        <f t="shared" si="1"/>
        <v>0</v>
      </c>
      <c r="H31" s="530">
        <v>0</v>
      </c>
      <c r="I31" s="530">
        <v>0</v>
      </c>
      <c r="J31" s="519">
        <f t="shared" si="2"/>
        <v>0</v>
      </c>
    </row>
    <row r="32" spans="2:10">
      <c r="B32" s="116"/>
      <c r="C32" s="157"/>
      <c r="D32" s="117" t="s">
        <v>367</v>
      </c>
      <c r="E32" s="530">
        <v>0</v>
      </c>
      <c r="F32" s="530">
        <v>0</v>
      </c>
      <c r="G32" s="519">
        <f t="shared" si="1"/>
        <v>0</v>
      </c>
      <c r="H32" s="530">
        <v>0</v>
      </c>
      <c r="I32" s="530">
        <v>0</v>
      </c>
      <c r="J32" s="519">
        <f t="shared" si="2"/>
        <v>0</v>
      </c>
    </row>
    <row r="33" spans="1:11">
      <c r="B33" s="116"/>
      <c r="C33" s="157"/>
      <c r="D33" s="117" t="s">
        <v>368</v>
      </c>
      <c r="E33" s="530">
        <v>0</v>
      </c>
      <c r="F33" s="530">
        <v>0</v>
      </c>
      <c r="G33" s="519">
        <f t="shared" si="1"/>
        <v>0</v>
      </c>
      <c r="H33" s="530">
        <v>0</v>
      </c>
      <c r="I33" s="530">
        <v>0</v>
      </c>
      <c r="J33" s="519">
        <f t="shared" si="2"/>
        <v>0</v>
      </c>
    </row>
    <row r="34" spans="1:11">
      <c r="B34" s="116"/>
      <c r="C34" s="157"/>
      <c r="D34" s="117" t="s">
        <v>369</v>
      </c>
      <c r="E34" s="530">
        <v>0</v>
      </c>
      <c r="F34" s="530">
        <v>0</v>
      </c>
      <c r="G34" s="519">
        <f t="shared" si="1"/>
        <v>0</v>
      </c>
      <c r="H34" s="530">
        <v>0</v>
      </c>
      <c r="I34" s="530">
        <v>0</v>
      </c>
      <c r="J34" s="519">
        <f t="shared" si="2"/>
        <v>0</v>
      </c>
    </row>
    <row r="35" spans="1:11">
      <c r="B35" s="116"/>
      <c r="C35" s="682" t="s">
        <v>370</v>
      </c>
      <c r="D35" s="683"/>
      <c r="E35" s="529">
        <f>SUM(E36)</f>
        <v>0</v>
      </c>
      <c r="F35" s="529">
        <f>SUM(F36)</f>
        <v>0</v>
      </c>
      <c r="G35" s="518">
        <f t="shared" si="1"/>
        <v>0</v>
      </c>
      <c r="H35" s="529">
        <f t="shared" ref="H35:I35" si="7">SUM(H36)</f>
        <v>0</v>
      </c>
      <c r="I35" s="529">
        <f t="shared" si="7"/>
        <v>0</v>
      </c>
      <c r="J35" s="518">
        <f t="shared" si="2"/>
        <v>0</v>
      </c>
    </row>
    <row r="36" spans="1:11">
      <c r="B36" s="116"/>
      <c r="C36" s="157"/>
      <c r="D36" s="117" t="s">
        <v>371</v>
      </c>
      <c r="E36" s="530">
        <v>0</v>
      </c>
      <c r="F36" s="530">
        <v>0</v>
      </c>
      <c r="G36" s="519">
        <f t="shared" si="1"/>
        <v>0</v>
      </c>
      <c r="H36" s="530">
        <v>0</v>
      </c>
      <c r="I36" s="530">
        <v>0</v>
      </c>
      <c r="J36" s="519">
        <f t="shared" si="2"/>
        <v>0</v>
      </c>
    </row>
    <row r="37" spans="1:11" ht="15" customHeight="1">
      <c r="B37" s="687" t="s">
        <v>372</v>
      </c>
      <c r="C37" s="688"/>
      <c r="D37" s="689"/>
      <c r="E37" s="530">
        <v>0</v>
      </c>
      <c r="F37" s="530">
        <v>0</v>
      </c>
      <c r="G37" s="519">
        <f t="shared" si="1"/>
        <v>0</v>
      </c>
      <c r="H37" s="530">
        <v>0</v>
      </c>
      <c r="I37" s="530">
        <v>0</v>
      </c>
      <c r="J37" s="519">
        <f t="shared" si="2"/>
        <v>0</v>
      </c>
    </row>
    <row r="38" spans="1:11" ht="15" customHeight="1">
      <c r="B38" s="687" t="s">
        <v>373</v>
      </c>
      <c r="C38" s="688"/>
      <c r="D38" s="689"/>
      <c r="E38" s="530">
        <v>0</v>
      </c>
      <c r="F38" s="530">
        <v>0</v>
      </c>
      <c r="G38" s="519">
        <f t="shared" si="1"/>
        <v>0</v>
      </c>
      <c r="H38" s="530">
        <v>0</v>
      </c>
      <c r="I38" s="530">
        <v>0</v>
      </c>
      <c r="J38" s="519">
        <f t="shared" si="2"/>
        <v>0</v>
      </c>
    </row>
    <row r="39" spans="1:11" ht="15.75" customHeight="1">
      <c r="B39" s="687" t="s">
        <v>374</v>
      </c>
      <c r="C39" s="688"/>
      <c r="D39" s="689"/>
      <c r="E39" s="530">
        <v>0</v>
      </c>
      <c r="F39" s="530">
        <v>0</v>
      </c>
      <c r="G39" s="519">
        <f t="shared" si="1"/>
        <v>0</v>
      </c>
      <c r="H39" s="530">
        <v>0</v>
      </c>
      <c r="I39" s="530">
        <v>0</v>
      </c>
      <c r="J39" s="519">
        <f t="shared" si="2"/>
        <v>0</v>
      </c>
    </row>
    <row r="40" spans="1:11">
      <c r="B40" s="158"/>
      <c r="C40" s="159"/>
      <c r="D40" s="160"/>
      <c r="E40" s="531"/>
      <c r="F40" s="532"/>
      <c r="G40" s="532"/>
      <c r="H40" s="532"/>
      <c r="I40" s="532"/>
      <c r="J40" s="532"/>
    </row>
    <row r="41" spans="1:11" s="127" customFormat="1">
      <c r="A41" s="124"/>
      <c r="B41" s="141"/>
      <c r="C41" s="690" t="s">
        <v>243</v>
      </c>
      <c r="D41" s="691"/>
      <c r="E41" s="522">
        <f>+E11+E14+E23+E27+E30+E35+E37+E38+E39</f>
        <v>2516000</v>
      </c>
      <c r="F41" s="522">
        <f t="shared" ref="F41:J41" si="8">+F11+F14+F23+F27+F30+F35+F37+F38+F39</f>
        <v>0</v>
      </c>
      <c r="G41" s="522">
        <f t="shared" si="8"/>
        <v>2516000</v>
      </c>
      <c r="H41" s="522">
        <f t="shared" si="8"/>
        <v>438032</v>
      </c>
      <c r="I41" s="522">
        <f t="shared" si="8"/>
        <v>438032</v>
      </c>
      <c r="J41" s="522">
        <f t="shared" si="8"/>
        <v>2077968</v>
      </c>
      <c r="K41" s="124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I532"/>
  <sheetViews>
    <sheetView zoomScale="90" zoomScaleNormal="90" workbookViewId="0">
      <selection activeCell="B3" sqref="B3:E3"/>
    </sheetView>
  </sheetViews>
  <sheetFormatPr baseColWidth="10" defaultRowHeight="12"/>
  <cols>
    <col min="1" max="1" width="4.85546875" style="184" customWidth="1"/>
    <col min="2" max="2" width="26.85546875" style="184" customWidth="1"/>
    <col min="3" max="3" width="84.42578125" style="184" customWidth="1"/>
    <col min="4" max="4" width="29.85546875" style="184" customWidth="1"/>
    <col min="5" max="5" width="4.85546875" style="184" customWidth="1"/>
    <col min="6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8" s="179" customFormat="1">
      <c r="B1" s="692" t="s">
        <v>390</v>
      </c>
      <c r="C1" s="692"/>
      <c r="D1" s="692"/>
      <c r="E1" s="692"/>
    </row>
    <row r="2" spans="1:8" s="179" customFormat="1">
      <c r="B2" s="692" t="s">
        <v>1018</v>
      </c>
      <c r="C2" s="692"/>
      <c r="D2" s="692"/>
      <c r="E2" s="692"/>
    </row>
    <row r="3" spans="1:8" s="179" customFormat="1">
      <c r="B3" s="692" t="s">
        <v>1</v>
      </c>
      <c r="C3" s="692"/>
      <c r="D3" s="692"/>
      <c r="E3" s="692"/>
    </row>
    <row r="4" spans="1:8">
      <c r="A4" s="180"/>
      <c r="B4" s="181" t="s">
        <v>4</v>
      </c>
      <c r="C4" s="693" t="s">
        <v>1010</v>
      </c>
      <c r="D4" s="693"/>
      <c r="E4" s="213"/>
      <c r="F4" s="183"/>
      <c r="G4" s="183"/>
      <c r="H4" s="183"/>
    </row>
    <row r="5" spans="1:8">
      <c r="A5" s="180"/>
      <c r="B5" s="185"/>
      <c r="C5" s="186"/>
      <c r="D5" s="186"/>
      <c r="E5" s="187"/>
    </row>
    <row r="6" spans="1:8" s="190" customFormat="1">
      <c r="A6" s="188"/>
      <c r="B6" s="189"/>
      <c r="C6" s="188"/>
      <c r="D6" s="188"/>
      <c r="E6" s="189"/>
    </row>
    <row r="7" spans="1:8" s="193" customFormat="1">
      <c r="A7" s="694" t="s">
        <v>391</v>
      </c>
      <c r="B7" s="600"/>
      <c r="C7" s="442" t="s">
        <v>392</v>
      </c>
      <c r="D7" s="442" t="s">
        <v>393</v>
      </c>
      <c r="E7" s="192"/>
    </row>
    <row r="8" spans="1:8" s="190" customFormat="1">
      <c r="A8" s="194"/>
      <c r="B8" s="456"/>
      <c r="C8" s="195"/>
      <c r="D8" s="462"/>
      <c r="E8" s="196"/>
    </row>
    <row r="9" spans="1:8">
      <c r="A9" s="197"/>
      <c r="B9" s="457" t="s">
        <v>411</v>
      </c>
      <c r="C9" s="444" t="s">
        <v>759</v>
      </c>
      <c r="D9" s="463">
        <v>9585.25</v>
      </c>
      <c r="E9" s="201"/>
    </row>
    <row r="10" spans="1:8">
      <c r="A10" s="197"/>
      <c r="B10" s="457" t="s">
        <v>412</v>
      </c>
      <c r="C10" s="444" t="s">
        <v>760</v>
      </c>
      <c r="D10" s="464">
        <v>0</v>
      </c>
      <c r="E10" s="201"/>
    </row>
    <row r="11" spans="1:8">
      <c r="A11" s="197"/>
      <c r="B11" s="457" t="s">
        <v>413</v>
      </c>
      <c r="C11" s="444" t="s">
        <v>761</v>
      </c>
      <c r="D11" s="464">
        <v>0</v>
      </c>
      <c r="E11" s="201"/>
    </row>
    <row r="12" spans="1:8">
      <c r="A12" s="197"/>
      <c r="B12" s="458" t="s">
        <v>414</v>
      </c>
      <c r="C12" s="445" t="s">
        <v>762</v>
      </c>
      <c r="D12" s="463">
        <v>1794</v>
      </c>
      <c r="E12" s="201"/>
    </row>
    <row r="13" spans="1:8">
      <c r="A13" s="197"/>
      <c r="B13" s="458" t="s">
        <v>415</v>
      </c>
      <c r="C13" s="445" t="s">
        <v>763</v>
      </c>
      <c r="D13" s="463">
        <v>1794</v>
      </c>
      <c r="E13" s="201"/>
    </row>
    <row r="14" spans="1:8">
      <c r="A14" s="197"/>
      <c r="B14" s="459" t="s">
        <v>416</v>
      </c>
      <c r="C14" s="445" t="s">
        <v>764</v>
      </c>
      <c r="D14" s="465">
        <v>405.95</v>
      </c>
      <c r="E14" s="201"/>
    </row>
    <row r="15" spans="1:8">
      <c r="A15" s="197"/>
      <c r="B15" s="459" t="s">
        <v>417</v>
      </c>
      <c r="C15" s="445" t="s">
        <v>764</v>
      </c>
      <c r="D15" s="465">
        <v>405.95</v>
      </c>
      <c r="E15" s="201"/>
    </row>
    <row r="16" spans="1:8">
      <c r="A16" s="197"/>
      <c r="B16" s="459" t="s">
        <v>418</v>
      </c>
      <c r="C16" s="445" t="s">
        <v>764</v>
      </c>
      <c r="D16" s="465">
        <v>405.95</v>
      </c>
      <c r="E16" s="201"/>
    </row>
    <row r="17" spans="1:5">
      <c r="A17" s="202"/>
      <c r="B17" s="459" t="s">
        <v>419</v>
      </c>
      <c r="C17" s="445" t="s">
        <v>764</v>
      </c>
      <c r="D17" s="465">
        <v>405.95</v>
      </c>
      <c r="E17" s="201"/>
    </row>
    <row r="18" spans="1:5">
      <c r="A18" s="202"/>
      <c r="B18" s="459" t="s">
        <v>420</v>
      </c>
      <c r="C18" s="445" t="s">
        <v>764</v>
      </c>
      <c r="D18" s="465">
        <v>405.95</v>
      </c>
      <c r="E18" s="201"/>
    </row>
    <row r="19" spans="1:5">
      <c r="A19" s="202"/>
      <c r="B19" s="459" t="s">
        <v>421</v>
      </c>
      <c r="C19" s="445" t="s">
        <v>764</v>
      </c>
      <c r="D19" s="465">
        <v>405.95</v>
      </c>
      <c r="E19" s="201"/>
    </row>
    <row r="20" spans="1:5">
      <c r="A20" s="202"/>
      <c r="B20" s="459" t="s">
        <v>422</v>
      </c>
      <c r="C20" s="445" t="s">
        <v>764</v>
      </c>
      <c r="D20" s="465">
        <v>405.95</v>
      </c>
      <c r="E20" s="201"/>
    </row>
    <row r="21" spans="1:5">
      <c r="A21" s="202"/>
      <c r="B21" s="459" t="s">
        <v>423</v>
      </c>
      <c r="C21" s="445" t="s">
        <v>764</v>
      </c>
      <c r="D21" s="465">
        <v>405.95</v>
      </c>
      <c r="E21" s="201"/>
    </row>
    <row r="22" spans="1:5">
      <c r="A22" s="202"/>
      <c r="B22" s="459" t="s">
        <v>424</v>
      </c>
      <c r="C22" s="445" t="s">
        <v>764</v>
      </c>
      <c r="D22" s="465">
        <v>405.95</v>
      </c>
      <c r="E22" s="201"/>
    </row>
    <row r="23" spans="1:5">
      <c r="A23" s="202"/>
      <c r="B23" s="459" t="s">
        <v>425</v>
      </c>
      <c r="C23" s="445" t="s">
        <v>764</v>
      </c>
      <c r="D23" s="465">
        <v>405.95</v>
      </c>
      <c r="E23" s="201"/>
    </row>
    <row r="24" spans="1:5">
      <c r="A24" s="202"/>
      <c r="B24" s="459" t="s">
        <v>426</v>
      </c>
      <c r="C24" s="445" t="s">
        <v>764</v>
      </c>
      <c r="D24" s="465">
        <v>405.95</v>
      </c>
      <c r="E24" s="201"/>
    </row>
    <row r="25" spans="1:5">
      <c r="A25" s="202"/>
      <c r="B25" s="459" t="s">
        <v>427</v>
      </c>
      <c r="C25" s="445" t="s">
        <v>764</v>
      </c>
      <c r="D25" s="465">
        <v>405.95</v>
      </c>
      <c r="E25" s="201"/>
    </row>
    <row r="26" spans="1:5">
      <c r="A26" s="202"/>
      <c r="B26" s="459" t="s">
        <v>428</v>
      </c>
      <c r="C26" s="445" t="s">
        <v>764</v>
      </c>
      <c r="D26" s="465">
        <v>405.95</v>
      </c>
      <c r="E26" s="201"/>
    </row>
    <row r="27" spans="1:5">
      <c r="A27" s="202"/>
      <c r="B27" s="459" t="s">
        <v>429</v>
      </c>
      <c r="C27" s="445" t="s">
        <v>764</v>
      </c>
      <c r="D27" s="465">
        <v>405.95</v>
      </c>
      <c r="E27" s="201"/>
    </row>
    <row r="28" spans="1:5">
      <c r="A28" s="202"/>
      <c r="B28" s="459" t="s">
        <v>430</v>
      </c>
      <c r="C28" s="445" t="s">
        <v>764</v>
      </c>
      <c r="D28" s="465">
        <v>405.95</v>
      </c>
      <c r="E28" s="201"/>
    </row>
    <row r="29" spans="1:5">
      <c r="A29" s="202"/>
      <c r="B29" s="459" t="s">
        <v>431</v>
      </c>
      <c r="C29" s="445" t="s">
        <v>764</v>
      </c>
      <c r="D29" s="465">
        <v>405.95</v>
      </c>
      <c r="E29" s="201"/>
    </row>
    <row r="30" spans="1:5">
      <c r="A30" s="202"/>
      <c r="B30" s="459" t="s">
        <v>432</v>
      </c>
      <c r="C30" s="445" t="s">
        <v>764</v>
      </c>
      <c r="D30" s="465">
        <v>405.95</v>
      </c>
      <c r="E30" s="201"/>
    </row>
    <row r="31" spans="1:5">
      <c r="A31" s="197"/>
      <c r="B31" s="459" t="s">
        <v>433</v>
      </c>
      <c r="C31" s="445" t="s">
        <v>764</v>
      </c>
      <c r="D31" s="465">
        <v>405.95</v>
      </c>
      <c r="E31" s="201"/>
    </row>
    <row r="32" spans="1:5">
      <c r="A32" s="197"/>
      <c r="B32" s="459" t="s">
        <v>434</v>
      </c>
      <c r="C32" s="445" t="s">
        <v>764</v>
      </c>
      <c r="D32" s="465">
        <v>405.95</v>
      </c>
      <c r="E32" s="201"/>
    </row>
    <row r="33" spans="1:9">
      <c r="A33" s="197"/>
      <c r="B33" s="459" t="s">
        <v>435</v>
      </c>
      <c r="C33" s="445" t="s">
        <v>764</v>
      </c>
      <c r="D33" s="465">
        <v>405.95</v>
      </c>
      <c r="E33" s="201"/>
    </row>
    <row r="34" spans="1:9">
      <c r="A34" s="197"/>
      <c r="B34" s="459" t="s">
        <v>436</v>
      </c>
      <c r="C34" s="445" t="s">
        <v>764</v>
      </c>
      <c r="D34" s="465">
        <v>405.95</v>
      </c>
      <c r="E34" s="201"/>
    </row>
    <row r="35" spans="1:9">
      <c r="A35" s="197"/>
      <c r="B35" s="459" t="s">
        <v>437</v>
      </c>
      <c r="C35" s="445" t="s">
        <v>764</v>
      </c>
      <c r="D35" s="465">
        <v>405.95</v>
      </c>
      <c r="E35" s="201"/>
    </row>
    <row r="36" spans="1:9">
      <c r="A36" s="197"/>
      <c r="B36" s="459" t="s">
        <v>438</v>
      </c>
      <c r="C36" s="445" t="s">
        <v>764</v>
      </c>
      <c r="D36" s="465">
        <v>405.95</v>
      </c>
      <c r="E36" s="201"/>
    </row>
    <row r="37" spans="1:9">
      <c r="A37" s="197"/>
      <c r="B37" s="459" t="s">
        <v>439</v>
      </c>
      <c r="C37" s="445" t="s">
        <v>764</v>
      </c>
      <c r="D37" s="465">
        <v>405.95</v>
      </c>
      <c r="E37" s="201"/>
    </row>
    <row r="38" spans="1:9">
      <c r="A38" s="197"/>
      <c r="B38" s="459" t="s">
        <v>440</v>
      </c>
      <c r="C38" s="445" t="s">
        <v>764</v>
      </c>
      <c r="D38" s="465">
        <v>405.95</v>
      </c>
      <c r="E38" s="201"/>
    </row>
    <row r="39" spans="1:9">
      <c r="A39" s="197"/>
      <c r="B39" s="459" t="s">
        <v>441</v>
      </c>
      <c r="C39" s="445" t="s">
        <v>765</v>
      </c>
      <c r="D39" s="465">
        <v>856.75</v>
      </c>
      <c r="E39" s="201"/>
    </row>
    <row r="40" spans="1:9">
      <c r="A40" s="197"/>
      <c r="B40" s="459" t="s">
        <v>442</v>
      </c>
      <c r="C40" s="445" t="s">
        <v>765</v>
      </c>
      <c r="D40" s="465">
        <v>856.75</v>
      </c>
      <c r="E40" s="201"/>
    </row>
    <row r="41" spans="1:9">
      <c r="A41" s="197"/>
      <c r="B41" s="459" t="s">
        <v>443</v>
      </c>
      <c r="C41" s="445" t="s">
        <v>765</v>
      </c>
      <c r="D41" s="465">
        <v>856.75</v>
      </c>
      <c r="E41" s="201"/>
    </row>
    <row r="42" spans="1:9">
      <c r="A42" s="197"/>
      <c r="B42" s="459" t="s">
        <v>444</v>
      </c>
      <c r="C42" s="445" t="s">
        <v>766</v>
      </c>
      <c r="D42" s="465">
        <f>2153*1.15</f>
        <v>2475.9499999999998</v>
      </c>
      <c r="E42" s="201"/>
    </row>
    <row r="43" spans="1:9" ht="15">
      <c r="A43" s="451"/>
      <c r="B43" s="459" t="s">
        <v>445</v>
      </c>
      <c r="C43" s="445" t="s">
        <v>767</v>
      </c>
      <c r="D43" s="465">
        <v>302.45</v>
      </c>
      <c r="E43" s="452"/>
    </row>
    <row r="44" spans="1:9">
      <c r="A44" s="194"/>
      <c r="B44" s="460" t="s">
        <v>446</v>
      </c>
      <c r="C44" s="446" t="s">
        <v>767</v>
      </c>
      <c r="D44" s="466">
        <v>302.45</v>
      </c>
      <c r="E44" s="448"/>
      <c r="F44" s="212"/>
      <c r="G44" s="211"/>
      <c r="H44" s="211"/>
      <c r="I44" s="211"/>
    </row>
    <row r="45" spans="1:9">
      <c r="A45" s="453"/>
      <c r="B45" s="460" t="s">
        <v>447</v>
      </c>
      <c r="C45" s="446" t="s">
        <v>767</v>
      </c>
      <c r="D45" s="466">
        <v>302.45</v>
      </c>
      <c r="E45" s="449"/>
    </row>
    <row r="46" spans="1:9">
      <c r="A46" s="453"/>
      <c r="B46" s="460" t="s">
        <v>448</v>
      </c>
      <c r="C46" s="446" t="s">
        <v>767</v>
      </c>
      <c r="D46" s="466">
        <v>302.45</v>
      </c>
      <c r="E46" s="449"/>
    </row>
    <row r="47" spans="1:9">
      <c r="A47" s="453"/>
      <c r="B47" s="460" t="s">
        <v>449</v>
      </c>
      <c r="C47" s="446" t="s">
        <v>767</v>
      </c>
      <c r="D47" s="466">
        <v>302.45</v>
      </c>
      <c r="E47" s="449"/>
    </row>
    <row r="48" spans="1:9">
      <c r="A48" s="453"/>
      <c r="B48" s="460" t="s">
        <v>450</v>
      </c>
      <c r="C48" s="446" t="s">
        <v>767</v>
      </c>
      <c r="D48" s="466">
        <v>302.45</v>
      </c>
      <c r="E48" s="449"/>
    </row>
    <row r="49" spans="1:5">
      <c r="A49" s="453"/>
      <c r="B49" s="460" t="s">
        <v>451</v>
      </c>
      <c r="C49" s="446" t="s">
        <v>767</v>
      </c>
      <c r="D49" s="466">
        <v>302.45</v>
      </c>
      <c r="E49" s="449"/>
    </row>
    <row r="50" spans="1:5">
      <c r="A50" s="453"/>
      <c r="B50" s="460" t="s">
        <v>452</v>
      </c>
      <c r="C50" s="446" t="s">
        <v>767</v>
      </c>
      <c r="D50" s="466">
        <v>302.45</v>
      </c>
      <c r="E50" s="449"/>
    </row>
    <row r="51" spans="1:5">
      <c r="A51" s="453"/>
      <c r="B51" s="460" t="s">
        <v>453</v>
      </c>
      <c r="C51" s="446" t="s">
        <v>767</v>
      </c>
      <c r="D51" s="466">
        <v>302.45</v>
      </c>
      <c r="E51" s="449"/>
    </row>
    <row r="52" spans="1:5">
      <c r="A52" s="453"/>
      <c r="B52" s="460" t="s">
        <v>454</v>
      </c>
      <c r="C52" s="446" t="s">
        <v>767</v>
      </c>
      <c r="D52" s="466">
        <v>302.45</v>
      </c>
      <c r="E52" s="449"/>
    </row>
    <row r="53" spans="1:5">
      <c r="A53" s="453"/>
      <c r="B53" s="460" t="s">
        <v>455</v>
      </c>
      <c r="C53" s="446" t="s">
        <v>767</v>
      </c>
      <c r="D53" s="466">
        <v>302.45</v>
      </c>
      <c r="E53" s="449"/>
    </row>
    <row r="54" spans="1:5">
      <c r="A54" s="454"/>
      <c r="B54" s="461" t="s">
        <v>456</v>
      </c>
      <c r="C54" s="455" t="s">
        <v>767</v>
      </c>
      <c r="D54" s="467">
        <v>302.45</v>
      </c>
      <c r="E54" s="450"/>
    </row>
    <row r="55" spans="1:5">
      <c r="A55" s="477"/>
      <c r="B55" s="470" t="s">
        <v>391</v>
      </c>
      <c r="C55" s="495" t="s">
        <v>392</v>
      </c>
      <c r="D55" s="473" t="s">
        <v>393</v>
      </c>
      <c r="E55" s="447"/>
    </row>
    <row r="56" spans="1:5">
      <c r="A56" s="453"/>
      <c r="B56" s="460" t="s">
        <v>457</v>
      </c>
      <c r="C56" s="496" t="s">
        <v>768</v>
      </c>
      <c r="D56" s="466">
        <f>1091*1.15</f>
        <v>1254.6499999999999</v>
      </c>
      <c r="E56" s="449"/>
    </row>
    <row r="57" spans="1:5">
      <c r="A57" s="453"/>
      <c r="B57" s="460" t="s">
        <v>458</v>
      </c>
      <c r="C57" s="497" t="s">
        <v>767</v>
      </c>
      <c r="D57" s="466">
        <v>302.45</v>
      </c>
      <c r="E57" s="449"/>
    </row>
    <row r="58" spans="1:5">
      <c r="A58" s="453"/>
      <c r="B58" s="460" t="s">
        <v>459</v>
      </c>
      <c r="C58" s="497" t="s">
        <v>767</v>
      </c>
      <c r="D58" s="466">
        <v>302.45</v>
      </c>
      <c r="E58" s="449"/>
    </row>
    <row r="59" spans="1:5">
      <c r="A59" s="453"/>
      <c r="B59" s="460" t="s">
        <v>460</v>
      </c>
      <c r="C59" s="497" t="s">
        <v>767</v>
      </c>
      <c r="D59" s="466">
        <v>302.45</v>
      </c>
      <c r="E59" s="449"/>
    </row>
    <row r="60" spans="1:5">
      <c r="A60" s="453"/>
      <c r="B60" s="460" t="s">
        <v>461</v>
      </c>
      <c r="C60" s="497" t="s">
        <v>767</v>
      </c>
      <c r="D60" s="466">
        <v>302.45</v>
      </c>
      <c r="E60" s="449"/>
    </row>
    <row r="61" spans="1:5">
      <c r="A61" s="453"/>
      <c r="B61" s="460" t="s">
        <v>462</v>
      </c>
      <c r="C61" s="497" t="s">
        <v>767</v>
      </c>
      <c r="D61" s="466">
        <v>302.45</v>
      </c>
      <c r="E61" s="449"/>
    </row>
    <row r="62" spans="1:5">
      <c r="A62" s="453"/>
      <c r="B62" s="460" t="s">
        <v>463</v>
      </c>
      <c r="C62" s="497" t="s">
        <v>767</v>
      </c>
      <c r="D62" s="466">
        <v>302.45</v>
      </c>
      <c r="E62" s="449"/>
    </row>
    <row r="63" spans="1:5">
      <c r="A63" s="453"/>
      <c r="B63" s="460" t="s">
        <v>464</v>
      </c>
      <c r="C63" s="497" t="s">
        <v>767</v>
      </c>
      <c r="D63" s="466">
        <v>302.45</v>
      </c>
      <c r="E63" s="449"/>
    </row>
    <row r="64" spans="1:5">
      <c r="A64" s="453"/>
      <c r="B64" s="460" t="s">
        <v>465</v>
      </c>
      <c r="C64" s="497" t="s">
        <v>767</v>
      </c>
      <c r="D64" s="466">
        <v>302.45</v>
      </c>
      <c r="E64" s="449"/>
    </row>
    <row r="65" spans="1:5">
      <c r="A65" s="453"/>
      <c r="B65" s="460" t="s">
        <v>466</v>
      </c>
      <c r="C65" s="497" t="s">
        <v>767</v>
      </c>
      <c r="D65" s="466">
        <v>302.45</v>
      </c>
      <c r="E65" s="449"/>
    </row>
    <row r="66" spans="1:5">
      <c r="A66" s="453"/>
      <c r="B66" s="460" t="s">
        <v>467</v>
      </c>
      <c r="C66" s="497" t="s">
        <v>767</v>
      </c>
      <c r="D66" s="466">
        <v>302.45</v>
      </c>
      <c r="E66" s="449"/>
    </row>
    <row r="67" spans="1:5">
      <c r="A67" s="453"/>
      <c r="B67" s="460" t="s">
        <v>468</v>
      </c>
      <c r="C67" s="497" t="s">
        <v>767</v>
      </c>
      <c r="D67" s="466">
        <v>302.45</v>
      </c>
      <c r="E67" s="449"/>
    </row>
    <row r="68" spans="1:5">
      <c r="A68" s="453"/>
      <c r="B68" s="460" t="s">
        <v>469</v>
      </c>
      <c r="C68" s="497" t="s">
        <v>767</v>
      </c>
      <c r="D68" s="466">
        <v>302.45</v>
      </c>
      <c r="E68" s="449"/>
    </row>
    <row r="69" spans="1:5">
      <c r="A69" s="453"/>
      <c r="B69" s="460" t="s">
        <v>470</v>
      </c>
      <c r="C69" s="497" t="s">
        <v>769</v>
      </c>
      <c r="D69" s="466">
        <f>838*1.15</f>
        <v>963.69999999999993</v>
      </c>
      <c r="E69" s="449"/>
    </row>
    <row r="70" spans="1:5">
      <c r="A70" s="453"/>
      <c r="B70" s="460" t="s">
        <v>471</v>
      </c>
      <c r="C70" s="497" t="s">
        <v>770</v>
      </c>
      <c r="D70" s="476">
        <f>1226*1.15</f>
        <v>1409.8999999999999</v>
      </c>
      <c r="E70" s="449"/>
    </row>
    <row r="71" spans="1:5">
      <c r="A71" s="453"/>
      <c r="B71" s="460" t="s">
        <v>472</v>
      </c>
      <c r="C71" s="497" t="s">
        <v>771</v>
      </c>
      <c r="D71" s="466">
        <f>1091*1.15</f>
        <v>1254.6499999999999</v>
      </c>
      <c r="E71" s="449"/>
    </row>
    <row r="72" spans="1:5">
      <c r="A72" s="453"/>
      <c r="B72" s="460" t="s">
        <v>473</v>
      </c>
      <c r="C72" s="497" t="s">
        <v>772</v>
      </c>
      <c r="D72" s="466">
        <v>1091.3499999999999</v>
      </c>
      <c r="E72" s="449"/>
    </row>
    <row r="73" spans="1:5">
      <c r="A73" s="453"/>
      <c r="B73" s="460" t="s">
        <v>474</v>
      </c>
      <c r="C73" s="497" t="s">
        <v>772</v>
      </c>
      <c r="D73" s="466">
        <v>1091.3499999999999</v>
      </c>
      <c r="E73" s="449"/>
    </row>
    <row r="74" spans="1:5">
      <c r="A74" s="453"/>
      <c r="B74" s="460" t="s">
        <v>475</v>
      </c>
      <c r="C74" s="497" t="s">
        <v>772</v>
      </c>
      <c r="D74" s="466">
        <v>1091.3499999999999</v>
      </c>
      <c r="E74" s="449"/>
    </row>
    <row r="75" spans="1:5">
      <c r="A75" s="453"/>
      <c r="B75" s="460" t="s">
        <v>476</v>
      </c>
      <c r="C75" s="497" t="s">
        <v>772</v>
      </c>
      <c r="D75" s="466">
        <v>1091.3499999999999</v>
      </c>
      <c r="E75" s="449"/>
    </row>
    <row r="76" spans="1:5">
      <c r="A76" s="453"/>
      <c r="B76" s="460" t="s">
        <v>477</v>
      </c>
      <c r="C76" s="497" t="s">
        <v>772</v>
      </c>
      <c r="D76" s="466">
        <v>1091.3499999999999</v>
      </c>
      <c r="E76" s="449"/>
    </row>
    <row r="77" spans="1:5">
      <c r="A77" s="453"/>
      <c r="B77" s="460" t="s">
        <v>478</v>
      </c>
      <c r="C77" s="497" t="s">
        <v>772</v>
      </c>
      <c r="D77" s="466">
        <v>1091.3499999999999</v>
      </c>
      <c r="E77" s="449"/>
    </row>
    <row r="78" spans="1:5">
      <c r="A78" s="453"/>
      <c r="B78" s="460" t="s">
        <v>479</v>
      </c>
      <c r="C78" s="497" t="s">
        <v>773</v>
      </c>
      <c r="D78" s="466">
        <v>253</v>
      </c>
      <c r="E78" s="449"/>
    </row>
    <row r="79" spans="1:5">
      <c r="A79" s="453"/>
      <c r="B79" s="460" t="s">
        <v>480</v>
      </c>
      <c r="C79" s="497" t="s">
        <v>773</v>
      </c>
      <c r="D79" s="466">
        <v>253</v>
      </c>
      <c r="E79" s="449"/>
    </row>
    <row r="80" spans="1:5">
      <c r="A80" s="453"/>
      <c r="B80" s="460" t="s">
        <v>481</v>
      </c>
      <c r="C80" s="497" t="s">
        <v>773</v>
      </c>
      <c r="D80" s="466">
        <v>253</v>
      </c>
      <c r="E80" s="449"/>
    </row>
    <row r="81" spans="1:5">
      <c r="A81" s="453"/>
      <c r="B81" s="460" t="s">
        <v>482</v>
      </c>
      <c r="C81" s="497" t="s">
        <v>773</v>
      </c>
      <c r="D81" s="466">
        <v>253</v>
      </c>
      <c r="E81" s="449"/>
    </row>
    <row r="82" spans="1:5">
      <c r="A82" s="453"/>
      <c r="B82" s="460" t="s">
        <v>483</v>
      </c>
      <c r="C82" s="497" t="s">
        <v>773</v>
      </c>
      <c r="D82" s="466">
        <v>253</v>
      </c>
      <c r="E82" s="449"/>
    </row>
    <row r="83" spans="1:5">
      <c r="A83" s="453"/>
      <c r="B83" s="460" t="s">
        <v>484</v>
      </c>
      <c r="C83" s="497" t="s">
        <v>773</v>
      </c>
      <c r="D83" s="466">
        <v>253</v>
      </c>
      <c r="E83" s="449"/>
    </row>
    <row r="84" spans="1:5">
      <c r="A84" s="453"/>
      <c r="B84" s="460" t="s">
        <v>485</v>
      </c>
      <c r="C84" s="497" t="s">
        <v>773</v>
      </c>
      <c r="D84" s="466">
        <v>253</v>
      </c>
      <c r="E84" s="449"/>
    </row>
    <row r="85" spans="1:5">
      <c r="A85" s="453"/>
      <c r="B85" s="460" t="s">
        <v>486</v>
      </c>
      <c r="C85" s="497" t="s">
        <v>773</v>
      </c>
      <c r="D85" s="466">
        <v>253</v>
      </c>
      <c r="E85" s="449"/>
    </row>
    <row r="86" spans="1:5">
      <c r="A86" s="453"/>
      <c r="B86" s="460" t="s">
        <v>487</v>
      </c>
      <c r="C86" s="497" t="s">
        <v>773</v>
      </c>
      <c r="D86" s="466">
        <v>253</v>
      </c>
      <c r="E86" s="449"/>
    </row>
    <row r="87" spans="1:5">
      <c r="A87" s="453"/>
      <c r="B87" s="460" t="s">
        <v>488</v>
      </c>
      <c r="C87" s="497" t="s">
        <v>773</v>
      </c>
      <c r="D87" s="466">
        <v>253</v>
      </c>
      <c r="E87" s="449"/>
    </row>
    <row r="88" spans="1:5">
      <c r="A88" s="453"/>
      <c r="B88" s="460" t="s">
        <v>489</v>
      </c>
      <c r="C88" s="497" t="s">
        <v>773</v>
      </c>
      <c r="D88" s="466">
        <v>253</v>
      </c>
      <c r="E88" s="449"/>
    </row>
    <row r="89" spans="1:5">
      <c r="A89" s="453"/>
      <c r="B89" s="460" t="s">
        <v>490</v>
      </c>
      <c r="C89" s="497" t="s">
        <v>773</v>
      </c>
      <c r="D89" s="466">
        <v>253</v>
      </c>
      <c r="E89" s="449"/>
    </row>
    <row r="90" spans="1:5">
      <c r="A90" s="453"/>
      <c r="B90" s="460" t="s">
        <v>491</v>
      </c>
      <c r="C90" s="497" t="s">
        <v>773</v>
      </c>
      <c r="D90" s="466">
        <v>253</v>
      </c>
      <c r="E90" s="449"/>
    </row>
    <row r="91" spans="1:5">
      <c r="A91" s="453"/>
      <c r="B91" s="460" t="s">
        <v>492</v>
      </c>
      <c r="C91" s="497" t="s">
        <v>773</v>
      </c>
      <c r="D91" s="466">
        <v>253</v>
      </c>
      <c r="E91" s="449"/>
    </row>
    <row r="92" spans="1:5">
      <c r="A92" s="453"/>
      <c r="B92" s="460" t="s">
        <v>493</v>
      </c>
      <c r="C92" s="497" t="s">
        <v>773</v>
      </c>
      <c r="D92" s="466">
        <v>253</v>
      </c>
      <c r="E92" s="449"/>
    </row>
    <row r="93" spans="1:5">
      <c r="A93" s="453"/>
      <c r="B93" s="460" t="s">
        <v>494</v>
      </c>
      <c r="C93" s="497" t="s">
        <v>773</v>
      </c>
      <c r="D93" s="466">
        <v>253</v>
      </c>
      <c r="E93" s="449"/>
    </row>
    <row r="94" spans="1:5">
      <c r="A94" s="453"/>
      <c r="B94" s="460" t="s">
        <v>495</v>
      </c>
      <c r="C94" s="497" t="s">
        <v>773</v>
      </c>
      <c r="D94" s="466">
        <v>253</v>
      </c>
      <c r="E94" s="449"/>
    </row>
    <row r="95" spans="1:5">
      <c r="A95" s="453"/>
      <c r="B95" s="460" t="s">
        <v>496</v>
      </c>
      <c r="C95" s="497" t="s">
        <v>773</v>
      </c>
      <c r="D95" s="466">
        <v>253</v>
      </c>
      <c r="E95" s="449"/>
    </row>
    <row r="96" spans="1:5">
      <c r="A96" s="453"/>
      <c r="B96" s="460" t="s">
        <v>497</v>
      </c>
      <c r="C96" s="497" t="s">
        <v>773</v>
      </c>
      <c r="D96" s="466">
        <v>253</v>
      </c>
      <c r="E96" s="449"/>
    </row>
    <row r="97" spans="1:5">
      <c r="A97" s="453"/>
      <c r="B97" s="460" t="s">
        <v>498</v>
      </c>
      <c r="C97" s="497" t="s">
        <v>773</v>
      </c>
      <c r="D97" s="466">
        <v>253</v>
      </c>
      <c r="E97" s="449"/>
    </row>
    <row r="98" spans="1:5">
      <c r="A98" s="453"/>
      <c r="B98" s="460" t="s">
        <v>499</v>
      </c>
      <c r="C98" s="497" t="s">
        <v>773</v>
      </c>
      <c r="D98" s="466">
        <v>253</v>
      </c>
      <c r="E98" s="449"/>
    </row>
    <row r="99" spans="1:5">
      <c r="A99" s="453"/>
      <c r="B99" s="460" t="s">
        <v>500</v>
      </c>
      <c r="C99" s="497" t="s">
        <v>773</v>
      </c>
      <c r="D99" s="466">
        <v>253</v>
      </c>
      <c r="E99" s="449"/>
    </row>
    <row r="100" spans="1:5">
      <c r="A100" s="453"/>
      <c r="B100" s="460" t="s">
        <v>501</v>
      </c>
      <c r="C100" s="497" t="s">
        <v>773</v>
      </c>
      <c r="D100" s="466">
        <v>253</v>
      </c>
      <c r="E100" s="449"/>
    </row>
    <row r="101" spans="1:5">
      <c r="A101" s="453"/>
      <c r="B101" s="460" t="s">
        <v>502</v>
      </c>
      <c r="C101" s="497" t="s">
        <v>773</v>
      </c>
      <c r="D101" s="466">
        <v>253</v>
      </c>
      <c r="E101" s="449"/>
    </row>
    <row r="102" spans="1:5">
      <c r="A102" s="453"/>
      <c r="B102" s="471" t="s">
        <v>503</v>
      </c>
      <c r="C102" s="497" t="s">
        <v>774</v>
      </c>
      <c r="D102" s="474">
        <v>2213.75</v>
      </c>
      <c r="E102" s="449"/>
    </row>
    <row r="103" spans="1:5">
      <c r="A103" s="453"/>
      <c r="B103" s="471" t="s">
        <v>504</v>
      </c>
      <c r="C103" s="497" t="s">
        <v>774</v>
      </c>
      <c r="D103" s="474">
        <v>2213.75</v>
      </c>
      <c r="E103" s="449"/>
    </row>
    <row r="104" spans="1:5">
      <c r="A104" s="453"/>
      <c r="B104" s="471" t="s">
        <v>505</v>
      </c>
      <c r="C104" s="497" t="s">
        <v>774</v>
      </c>
      <c r="D104" s="474">
        <v>2213.75</v>
      </c>
      <c r="E104" s="449"/>
    </row>
    <row r="105" spans="1:5">
      <c r="A105" s="453"/>
      <c r="B105" s="471" t="s">
        <v>506</v>
      </c>
      <c r="C105" s="497" t="s">
        <v>774</v>
      </c>
      <c r="D105" s="474">
        <v>2213.75</v>
      </c>
      <c r="E105" s="449"/>
    </row>
    <row r="106" spans="1:5" ht="18" customHeight="1">
      <c r="A106" s="453"/>
      <c r="B106" s="471" t="s">
        <v>507</v>
      </c>
      <c r="C106" s="497" t="s">
        <v>775</v>
      </c>
      <c r="D106" s="474">
        <v>1493.85</v>
      </c>
      <c r="E106" s="449"/>
    </row>
    <row r="107" spans="1:5">
      <c r="A107" s="453"/>
      <c r="B107" s="471" t="s">
        <v>508</v>
      </c>
      <c r="C107" s="497" t="s">
        <v>775</v>
      </c>
      <c r="D107" s="474">
        <v>1493.85</v>
      </c>
      <c r="E107" s="449"/>
    </row>
    <row r="108" spans="1:5">
      <c r="A108" s="454"/>
      <c r="B108" s="472" t="s">
        <v>509</v>
      </c>
      <c r="C108" s="443" t="s">
        <v>775</v>
      </c>
      <c r="D108" s="475">
        <v>1493.85</v>
      </c>
      <c r="E108" s="450"/>
    </row>
    <row r="109" spans="1:5">
      <c r="A109" s="468"/>
      <c r="B109" s="470" t="s">
        <v>391</v>
      </c>
      <c r="C109" s="488" t="s">
        <v>392</v>
      </c>
      <c r="D109" s="473" t="s">
        <v>393</v>
      </c>
      <c r="E109" s="469"/>
    </row>
    <row r="110" spans="1:5">
      <c r="A110" s="453"/>
      <c r="B110" s="471" t="s">
        <v>510</v>
      </c>
      <c r="C110" s="497" t="s">
        <v>775</v>
      </c>
      <c r="D110" s="474">
        <v>1493.85</v>
      </c>
      <c r="E110" s="449"/>
    </row>
    <row r="111" spans="1:5">
      <c r="A111" s="453"/>
      <c r="B111" s="471" t="s">
        <v>511</v>
      </c>
      <c r="C111" s="497" t="s">
        <v>775</v>
      </c>
      <c r="D111" s="474">
        <v>1493.85</v>
      </c>
      <c r="E111" s="449"/>
    </row>
    <row r="112" spans="1:5">
      <c r="A112" s="453"/>
      <c r="B112" s="471" t="s">
        <v>512</v>
      </c>
      <c r="C112" s="497" t="s">
        <v>775</v>
      </c>
      <c r="D112" s="474">
        <v>1493.85</v>
      </c>
      <c r="E112" s="449"/>
    </row>
    <row r="113" spans="1:5">
      <c r="A113" s="453"/>
      <c r="B113" s="471" t="s">
        <v>513</v>
      </c>
      <c r="C113" s="497" t="s">
        <v>776</v>
      </c>
      <c r="D113" s="474">
        <v>3530.5</v>
      </c>
      <c r="E113" s="449"/>
    </row>
    <row r="114" spans="1:5">
      <c r="A114" s="453"/>
      <c r="B114" s="471" t="s">
        <v>514</v>
      </c>
      <c r="C114" s="497" t="s">
        <v>776</v>
      </c>
      <c r="D114" s="474">
        <v>3530.5</v>
      </c>
      <c r="E114" s="449"/>
    </row>
    <row r="115" spans="1:5">
      <c r="A115" s="453"/>
      <c r="B115" s="471" t="s">
        <v>515</v>
      </c>
      <c r="C115" s="497" t="s">
        <v>776</v>
      </c>
      <c r="D115" s="474">
        <v>3530.5</v>
      </c>
      <c r="E115" s="449"/>
    </row>
    <row r="116" spans="1:5">
      <c r="A116" s="453"/>
      <c r="B116" s="471" t="s">
        <v>516</v>
      </c>
      <c r="C116" s="497" t="s">
        <v>776</v>
      </c>
      <c r="D116" s="474">
        <v>3530.5</v>
      </c>
      <c r="E116" s="449"/>
    </row>
    <row r="117" spans="1:5">
      <c r="A117" s="453"/>
      <c r="B117" s="471" t="s">
        <v>517</v>
      </c>
      <c r="C117" s="497" t="s">
        <v>777</v>
      </c>
      <c r="D117" s="474">
        <v>960.25</v>
      </c>
      <c r="E117" s="449"/>
    </row>
    <row r="118" spans="1:5" ht="36">
      <c r="A118" s="453"/>
      <c r="B118" s="471" t="s">
        <v>518</v>
      </c>
      <c r="C118" s="497" t="s">
        <v>778</v>
      </c>
      <c r="D118" s="478">
        <v>3880.1</v>
      </c>
      <c r="E118" s="449"/>
    </row>
    <row r="119" spans="1:5">
      <c r="A119" s="453"/>
      <c r="B119" s="471" t="s">
        <v>519</v>
      </c>
      <c r="C119" s="497" t="s">
        <v>779</v>
      </c>
      <c r="D119" s="478">
        <f>263*1.15</f>
        <v>302.45</v>
      </c>
      <c r="E119" s="449"/>
    </row>
    <row r="120" spans="1:5">
      <c r="A120" s="453"/>
      <c r="B120" s="471" t="s">
        <v>520</v>
      </c>
      <c r="C120" s="497" t="s">
        <v>779</v>
      </c>
      <c r="D120" s="478">
        <f t="shared" ref="D120:D130" si="0">263*1.15</f>
        <v>302.45</v>
      </c>
      <c r="E120" s="449"/>
    </row>
    <row r="121" spans="1:5">
      <c r="A121" s="453"/>
      <c r="B121" s="471" t="s">
        <v>521</v>
      </c>
      <c r="C121" s="497" t="s">
        <v>779</v>
      </c>
      <c r="D121" s="478">
        <f t="shared" si="0"/>
        <v>302.45</v>
      </c>
      <c r="E121" s="449"/>
    </row>
    <row r="122" spans="1:5">
      <c r="A122" s="453"/>
      <c r="B122" s="471" t="s">
        <v>522</v>
      </c>
      <c r="C122" s="497" t="s">
        <v>779</v>
      </c>
      <c r="D122" s="478">
        <f t="shared" si="0"/>
        <v>302.45</v>
      </c>
      <c r="E122" s="449"/>
    </row>
    <row r="123" spans="1:5">
      <c r="A123" s="453"/>
      <c r="B123" s="471" t="s">
        <v>523</v>
      </c>
      <c r="C123" s="497" t="s">
        <v>779</v>
      </c>
      <c r="D123" s="478">
        <f t="shared" si="0"/>
        <v>302.45</v>
      </c>
      <c r="E123" s="449"/>
    </row>
    <row r="124" spans="1:5">
      <c r="A124" s="453"/>
      <c r="B124" s="471" t="s">
        <v>524</v>
      </c>
      <c r="C124" s="497" t="s">
        <v>779</v>
      </c>
      <c r="D124" s="478">
        <f t="shared" si="0"/>
        <v>302.45</v>
      </c>
      <c r="E124" s="449"/>
    </row>
    <row r="125" spans="1:5">
      <c r="A125" s="453"/>
      <c r="B125" s="471" t="s">
        <v>525</v>
      </c>
      <c r="C125" s="497" t="s">
        <v>779</v>
      </c>
      <c r="D125" s="478">
        <f t="shared" si="0"/>
        <v>302.45</v>
      </c>
      <c r="E125" s="449"/>
    </row>
    <row r="126" spans="1:5">
      <c r="A126" s="453"/>
      <c r="B126" s="471" t="s">
        <v>526</v>
      </c>
      <c r="C126" s="497" t="s">
        <v>779</v>
      </c>
      <c r="D126" s="478">
        <f t="shared" si="0"/>
        <v>302.45</v>
      </c>
      <c r="E126" s="449"/>
    </row>
    <row r="127" spans="1:5">
      <c r="A127" s="453"/>
      <c r="B127" s="471" t="s">
        <v>527</v>
      </c>
      <c r="C127" s="497" t="s">
        <v>779</v>
      </c>
      <c r="D127" s="478">
        <f t="shared" si="0"/>
        <v>302.45</v>
      </c>
      <c r="E127" s="449"/>
    </row>
    <row r="128" spans="1:5">
      <c r="A128" s="453"/>
      <c r="B128" s="471" t="s">
        <v>528</v>
      </c>
      <c r="C128" s="497" t="s">
        <v>779</v>
      </c>
      <c r="D128" s="478">
        <f t="shared" si="0"/>
        <v>302.45</v>
      </c>
      <c r="E128" s="449"/>
    </row>
    <row r="129" spans="1:5">
      <c r="A129" s="453"/>
      <c r="B129" s="471" t="s">
        <v>529</v>
      </c>
      <c r="C129" s="497" t="s">
        <v>779</v>
      </c>
      <c r="D129" s="478">
        <f t="shared" si="0"/>
        <v>302.45</v>
      </c>
      <c r="E129" s="449"/>
    </row>
    <row r="130" spans="1:5">
      <c r="A130" s="453"/>
      <c r="B130" s="471" t="s">
        <v>530</v>
      </c>
      <c r="C130" s="497" t="s">
        <v>779</v>
      </c>
      <c r="D130" s="478">
        <f t="shared" si="0"/>
        <v>302.45</v>
      </c>
      <c r="E130" s="449"/>
    </row>
    <row r="131" spans="1:5" ht="24">
      <c r="A131" s="453"/>
      <c r="B131" s="471" t="s">
        <v>531</v>
      </c>
      <c r="C131" s="497" t="s">
        <v>780</v>
      </c>
      <c r="D131" s="478">
        <f>5139*1.15</f>
        <v>5909.8499999999995</v>
      </c>
      <c r="E131" s="449"/>
    </row>
    <row r="132" spans="1:5">
      <c r="A132" s="453"/>
      <c r="B132" s="471" t="s">
        <v>532</v>
      </c>
      <c r="C132" s="497" t="s">
        <v>781</v>
      </c>
      <c r="D132" s="479">
        <v>1932</v>
      </c>
      <c r="E132" s="449"/>
    </row>
    <row r="133" spans="1:5">
      <c r="A133" s="453"/>
      <c r="B133" s="471" t="s">
        <v>533</v>
      </c>
      <c r="C133" s="497" t="s">
        <v>781</v>
      </c>
      <c r="D133" s="478">
        <v>1932</v>
      </c>
      <c r="E133" s="449"/>
    </row>
    <row r="134" spans="1:5">
      <c r="A134" s="453"/>
      <c r="B134" s="471" t="s">
        <v>534</v>
      </c>
      <c r="C134" s="497" t="s">
        <v>782</v>
      </c>
      <c r="D134" s="480">
        <f>2300*1.15</f>
        <v>2645</v>
      </c>
      <c r="E134" s="449"/>
    </row>
    <row r="135" spans="1:5">
      <c r="A135" s="453"/>
      <c r="B135" s="471" t="s">
        <v>535</v>
      </c>
      <c r="C135" s="497" t="s">
        <v>783</v>
      </c>
      <c r="D135" s="480">
        <v>50.02</v>
      </c>
      <c r="E135" s="449"/>
    </row>
    <row r="136" spans="1:5">
      <c r="A136" s="453"/>
      <c r="B136" s="471" t="s">
        <v>536</v>
      </c>
      <c r="C136" s="497" t="s">
        <v>783</v>
      </c>
      <c r="D136" s="480">
        <v>50</v>
      </c>
      <c r="E136" s="449"/>
    </row>
    <row r="137" spans="1:5">
      <c r="A137" s="453"/>
      <c r="B137" s="471" t="s">
        <v>537</v>
      </c>
      <c r="C137" s="497" t="s">
        <v>783</v>
      </c>
      <c r="D137" s="480">
        <f>43.48*1.15</f>
        <v>50.001999999999995</v>
      </c>
      <c r="E137" s="449"/>
    </row>
    <row r="138" spans="1:5">
      <c r="A138" s="453"/>
      <c r="B138" s="471" t="s">
        <v>538</v>
      </c>
      <c r="C138" s="497" t="s">
        <v>783</v>
      </c>
      <c r="D138" s="480">
        <v>50</v>
      </c>
      <c r="E138" s="449"/>
    </row>
    <row r="139" spans="1:5">
      <c r="A139" s="453"/>
      <c r="B139" s="471" t="s">
        <v>539</v>
      </c>
      <c r="C139" s="497" t="s">
        <v>783</v>
      </c>
      <c r="D139" s="480">
        <v>50</v>
      </c>
      <c r="E139" s="449"/>
    </row>
    <row r="140" spans="1:5">
      <c r="A140" s="453"/>
      <c r="B140" s="471" t="s">
        <v>540</v>
      </c>
      <c r="C140" s="497" t="s">
        <v>783</v>
      </c>
      <c r="D140" s="481">
        <v>50</v>
      </c>
      <c r="E140" s="449"/>
    </row>
    <row r="141" spans="1:5">
      <c r="A141" s="453"/>
      <c r="B141" s="471" t="s">
        <v>541</v>
      </c>
      <c r="C141" s="497" t="s">
        <v>783</v>
      </c>
      <c r="D141" s="481">
        <v>50</v>
      </c>
      <c r="E141" s="449"/>
    </row>
    <row r="142" spans="1:5">
      <c r="A142" s="453"/>
      <c r="B142" s="471" t="s">
        <v>542</v>
      </c>
      <c r="C142" s="497" t="s">
        <v>783</v>
      </c>
      <c r="D142" s="481">
        <v>50</v>
      </c>
      <c r="E142" s="449"/>
    </row>
    <row r="143" spans="1:5">
      <c r="A143" s="453"/>
      <c r="B143" s="471" t="s">
        <v>543</v>
      </c>
      <c r="C143" s="497" t="s">
        <v>783</v>
      </c>
      <c r="D143" s="481">
        <v>50</v>
      </c>
      <c r="E143" s="449"/>
    </row>
    <row r="144" spans="1:5">
      <c r="A144" s="453"/>
      <c r="B144" s="471" t="s">
        <v>544</v>
      </c>
      <c r="C144" s="497" t="s">
        <v>783</v>
      </c>
      <c r="D144" s="481">
        <v>50</v>
      </c>
      <c r="E144" s="449"/>
    </row>
    <row r="145" spans="1:5">
      <c r="A145" s="453"/>
      <c r="B145" s="471" t="s">
        <v>545</v>
      </c>
      <c r="C145" s="497" t="s">
        <v>783</v>
      </c>
      <c r="D145" s="481">
        <v>50</v>
      </c>
      <c r="E145" s="449"/>
    </row>
    <row r="146" spans="1:5">
      <c r="A146" s="453"/>
      <c r="B146" s="471" t="s">
        <v>546</v>
      </c>
      <c r="C146" s="497" t="s">
        <v>783</v>
      </c>
      <c r="D146" s="481">
        <v>50</v>
      </c>
      <c r="E146" s="449"/>
    </row>
    <row r="147" spans="1:5">
      <c r="A147" s="453"/>
      <c r="B147" s="471"/>
      <c r="C147" s="498" t="s">
        <v>784</v>
      </c>
      <c r="D147" s="481">
        <v>342</v>
      </c>
      <c r="E147" s="449"/>
    </row>
    <row r="148" spans="1:5">
      <c r="A148" s="453"/>
      <c r="B148" s="471" t="s">
        <v>547</v>
      </c>
      <c r="C148" s="498" t="s">
        <v>785</v>
      </c>
      <c r="D148" s="480">
        <v>4749</v>
      </c>
      <c r="E148" s="449"/>
    </row>
    <row r="149" spans="1:5">
      <c r="A149" s="453"/>
      <c r="B149" s="471" t="s">
        <v>548</v>
      </c>
      <c r="C149" s="498" t="s">
        <v>786</v>
      </c>
      <c r="D149" s="480">
        <f>1726.095*1.15</f>
        <v>1985.0092499999998</v>
      </c>
      <c r="E149" s="449"/>
    </row>
    <row r="150" spans="1:5">
      <c r="A150" s="453"/>
      <c r="B150" s="471" t="s">
        <v>549</v>
      </c>
      <c r="C150" s="498" t="s">
        <v>787</v>
      </c>
      <c r="D150" s="480">
        <f>2173.04*1.15</f>
        <v>2498.9959999999996</v>
      </c>
      <c r="E150" s="449"/>
    </row>
    <row r="151" spans="1:5">
      <c r="A151" s="453"/>
      <c r="B151" s="471" t="s">
        <v>550</v>
      </c>
      <c r="C151" s="498" t="s">
        <v>788</v>
      </c>
      <c r="D151" s="480">
        <f>1738.26*1.15</f>
        <v>1998.9989999999998</v>
      </c>
      <c r="E151" s="449"/>
    </row>
    <row r="152" spans="1:5">
      <c r="A152" s="453"/>
      <c r="B152" s="471" t="s">
        <v>551</v>
      </c>
      <c r="C152" s="498" t="s">
        <v>788</v>
      </c>
      <c r="D152" s="480">
        <f t="shared" ref="D152:D160" si="1">1738.26*1.15</f>
        <v>1998.9989999999998</v>
      </c>
      <c r="E152" s="449"/>
    </row>
    <row r="153" spans="1:5">
      <c r="A153" s="453"/>
      <c r="B153" s="471" t="s">
        <v>552</v>
      </c>
      <c r="C153" s="498" t="s">
        <v>788</v>
      </c>
      <c r="D153" s="480">
        <f t="shared" si="1"/>
        <v>1998.9989999999998</v>
      </c>
      <c r="E153" s="449"/>
    </row>
    <row r="154" spans="1:5">
      <c r="A154" s="453"/>
      <c r="B154" s="471" t="s">
        <v>553</v>
      </c>
      <c r="C154" s="498" t="s">
        <v>788</v>
      </c>
      <c r="D154" s="480">
        <f t="shared" si="1"/>
        <v>1998.9989999999998</v>
      </c>
      <c r="E154" s="449"/>
    </row>
    <row r="155" spans="1:5">
      <c r="A155" s="453"/>
      <c r="B155" s="471" t="s">
        <v>554</v>
      </c>
      <c r="C155" s="498" t="s">
        <v>788</v>
      </c>
      <c r="D155" s="480">
        <f t="shared" si="1"/>
        <v>1998.9989999999998</v>
      </c>
      <c r="E155" s="449"/>
    </row>
    <row r="156" spans="1:5">
      <c r="A156" s="453"/>
      <c r="B156" s="471" t="s">
        <v>555</v>
      </c>
      <c r="C156" s="498" t="s">
        <v>788</v>
      </c>
      <c r="D156" s="480">
        <f t="shared" si="1"/>
        <v>1998.9989999999998</v>
      </c>
      <c r="E156" s="449"/>
    </row>
    <row r="157" spans="1:5">
      <c r="A157" s="453"/>
      <c r="B157" s="471" t="s">
        <v>556</v>
      </c>
      <c r="C157" s="498" t="s">
        <v>788</v>
      </c>
      <c r="D157" s="480">
        <f t="shared" si="1"/>
        <v>1998.9989999999998</v>
      </c>
      <c r="E157" s="449"/>
    </row>
    <row r="158" spans="1:5">
      <c r="A158" s="453"/>
      <c r="B158" s="471" t="s">
        <v>557</v>
      </c>
      <c r="C158" s="498" t="s">
        <v>788</v>
      </c>
      <c r="D158" s="480">
        <f t="shared" si="1"/>
        <v>1998.9989999999998</v>
      </c>
      <c r="E158" s="449"/>
    </row>
    <row r="159" spans="1:5">
      <c r="A159" s="453"/>
      <c r="B159" s="471" t="s">
        <v>558</v>
      </c>
      <c r="C159" s="498" t="s">
        <v>788</v>
      </c>
      <c r="D159" s="480">
        <f t="shared" si="1"/>
        <v>1998.9989999999998</v>
      </c>
      <c r="E159" s="449"/>
    </row>
    <row r="160" spans="1:5">
      <c r="A160" s="454"/>
      <c r="B160" s="472" t="s">
        <v>559</v>
      </c>
      <c r="C160" s="499" t="s">
        <v>788</v>
      </c>
      <c r="D160" s="482">
        <f t="shared" si="1"/>
        <v>1998.9989999999998</v>
      </c>
      <c r="E160" s="450"/>
    </row>
    <row r="161" spans="1:5">
      <c r="A161" s="468"/>
      <c r="B161" s="470" t="s">
        <v>391</v>
      </c>
      <c r="C161" s="488" t="s">
        <v>392</v>
      </c>
      <c r="D161" s="486" t="s">
        <v>393</v>
      </c>
      <c r="E161" s="469"/>
    </row>
    <row r="162" spans="1:5">
      <c r="A162" s="453"/>
      <c r="B162" s="471" t="s">
        <v>560</v>
      </c>
      <c r="C162" s="498" t="s">
        <v>789</v>
      </c>
      <c r="D162" s="487">
        <v>-1</v>
      </c>
      <c r="E162" s="449"/>
    </row>
    <row r="163" spans="1:5">
      <c r="A163" s="453"/>
      <c r="B163" s="471" t="s">
        <v>561</v>
      </c>
      <c r="C163" s="497" t="s">
        <v>790</v>
      </c>
      <c r="D163" s="480">
        <v>3999</v>
      </c>
      <c r="E163" s="449"/>
    </row>
    <row r="164" spans="1:5">
      <c r="A164" s="453"/>
      <c r="B164" s="471" t="s">
        <v>562</v>
      </c>
      <c r="C164" s="497" t="s">
        <v>791</v>
      </c>
      <c r="D164" s="480">
        <v>2899</v>
      </c>
      <c r="E164" s="449"/>
    </row>
    <row r="165" spans="1:5">
      <c r="A165" s="453"/>
      <c r="B165" s="471" t="s">
        <v>563</v>
      </c>
      <c r="C165" s="497" t="s">
        <v>792</v>
      </c>
      <c r="D165" s="480">
        <v>7749</v>
      </c>
      <c r="E165" s="449"/>
    </row>
    <row r="166" spans="1:5">
      <c r="A166" s="453"/>
      <c r="B166" s="471" t="s">
        <v>564</v>
      </c>
      <c r="C166" s="497" t="s">
        <v>793</v>
      </c>
      <c r="D166" s="480">
        <v>3799</v>
      </c>
      <c r="E166" s="449"/>
    </row>
    <row r="167" spans="1:5">
      <c r="A167" s="453"/>
      <c r="B167" s="471" t="s">
        <v>565</v>
      </c>
      <c r="C167" s="497" t="s">
        <v>794</v>
      </c>
      <c r="D167" s="480">
        <f>2999.79/2</f>
        <v>1499.895</v>
      </c>
      <c r="E167" s="449"/>
    </row>
    <row r="168" spans="1:5">
      <c r="A168" s="453"/>
      <c r="B168" s="471" t="s">
        <v>566</v>
      </c>
      <c r="C168" s="497" t="s">
        <v>794</v>
      </c>
      <c r="D168" s="480">
        <f>+D167</f>
        <v>1499.895</v>
      </c>
      <c r="E168" s="449"/>
    </row>
    <row r="169" spans="1:5">
      <c r="A169" s="453"/>
      <c r="B169" s="471" t="s">
        <v>567</v>
      </c>
      <c r="C169" s="497" t="s">
        <v>795</v>
      </c>
      <c r="D169" s="480">
        <v>999</v>
      </c>
      <c r="E169" s="449"/>
    </row>
    <row r="170" spans="1:5">
      <c r="A170" s="453"/>
      <c r="B170" s="471" t="s">
        <v>568</v>
      </c>
      <c r="C170" s="497" t="s">
        <v>796</v>
      </c>
      <c r="D170" s="480">
        <v>1999</v>
      </c>
      <c r="E170" s="449"/>
    </row>
    <row r="171" spans="1:5">
      <c r="A171" s="453"/>
      <c r="B171" s="471" t="s">
        <v>569</v>
      </c>
      <c r="C171" s="497" t="s">
        <v>797</v>
      </c>
      <c r="D171" s="480">
        <v>339</v>
      </c>
      <c r="E171" s="449"/>
    </row>
    <row r="172" spans="1:5">
      <c r="A172" s="453"/>
      <c r="B172" s="471" t="s">
        <v>570</v>
      </c>
      <c r="C172" s="497" t="s">
        <v>798</v>
      </c>
      <c r="D172" s="480">
        <v>179</v>
      </c>
      <c r="E172" s="449"/>
    </row>
    <row r="173" spans="1:5">
      <c r="A173" s="453"/>
      <c r="B173" s="471" t="s">
        <v>571</v>
      </c>
      <c r="C173" s="497" t="s">
        <v>799</v>
      </c>
      <c r="D173" s="480">
        <f>417/3</f>
        <v>139</v>
      </c>
      <c r="E173" s="449"/>
    </row>
    <row r="174" spans="1:5">
      <c r="A174" s="453"/>
      <c r="B174" s="471" t="s">
        <v>572</v>
      </c>
      <c r="C174" s="497" t="s">
        <v>799</v>
      </c>
      <c r="D174" s="480">
        <v>139</v>
      </c>
      <c r="E174" s="449"/>
    </row>
    <row r="175" spans="1:5">
      <c r="A175" s="453"/>
      <c r="B175" s="471" t="s">
        <v>573</v>
      </c>
      <c r="C175" s="497" t="s">
        <v>799</v>
      </c>
      <c r="D175" s="480">
        <v>139</v>
      </c>
      <c r="E175" s="449"/>
    </row>
    <row r="176" spans="1:5">
      <c r="A176" s="453"/>
      <c r="B176" s="471" t="s">
        <v>574</v>
      </c>
      <c r="C176" s="497" t="s">
        <v>800</v>
      </c>
      <c r="D176" s="480">
        <v>399.01</v>
      </c>
      <c r="E176" s="449"/>
    </row>
    <row r="177" spans="1:5">
      <c r="A177" s="453"/>
      <c r="B177" s="471" t="s">
        <v>575</v>
      </c>
      <c r="C177" s="498" t="s">
        <v>801</v>
      </c>
      <c r="D177" s="480">
        <v>2299.9899999999998</v>
      </c>
      <c r="E177" s="449"/>
    </row>
    <row r="178" spans="1:5">
      <c r="A178" s="453"/>
      <c r="B178" s="471" t="s">
        <v>576</v>
      </c>
      <c r="C178" s="498" t="s">
        <v>802</v>
      </c>
      <c r="D178" s="480">
        <v>11930</v>
      </c>
      <c r="E178" s="449"/>
    </row>
    <row r="179" spans="1:5">
      <c r="A179" s="453"/>
      <c r="B179" s="471" t="s">
        <v>577</v>
      </c>
      <c r="C179" s="497" t="s">
        <v>803</v>
      </c>
      <c r="D179" s="480">
        <f>4775*1.15</f>
        <v>5491.25</v>
      </c>
      <c r="E179" s="449"/>
    </row>
    <row r="180" spans="1:5">
      <c r="A180" s="453"/>
      <c r="B180" s="471" t="s">
        <v>578</v>
      </c>
      <c r="C180" s="497" t="s">
        <v>804</v>
      </c>
      <c r="D180" s="480">
        <f>2100*1.15</f>
        <v>2415</v>
      </c>
      <c r="E180" s="449"/>
    </row>
    <row r="181" spans="1:5">
      <c r="A181" s="453"/>
      <c r="B181" s="471" t="s">
        <v>579</v>
      </c>
      <c r="C181" s="498" t="s">
        <v>786</v>
      </c>
      <c r="D181" s="480">
        <f>3800*1.15</f>
        <v>4370</v>
      </c>
      <c r="E181" s="449"/>
    </row>
    <row r="182" spans="1:5">
      <c r="A182" s="453"/>
      <c r="B182" s="471" t="s">
        <v>580</v>
      </c>
      <c r="C182" s="498" t="s">
        <v>805</v>
      </c>
      <c r="D182" s="480">
        <v>13225</v>
      </c>
      <c r="E182" s="449"/>
    </row>
    <row r="183" spans="1:5">
      <c r="A183" s="453"/>
      <c r="B183" s="471" t="s">
        <v>581</v>
      </c>
      <c r="C183" s="497" t="s">
        <v>806</v>
      </c>
      <c r="D183" s="480">
        <v>6770</v>
      </c>
      <c r="E183" s="449"/>
    </row>
    <row r="184" spans="1:5">
      <c r="A184" s="453"/>
      <c r="B184" s="471" t="s">
        <v>582</v>
      </c>
      <c r="C184" s="497" t="s">
        <v>788</v>
      </c>
      <c r="D184" s="480">
        <f>2068.10345*1.16</f>
        <v>2399.0000019999998</v>
      </c>
      <c r="E184" s="449"/>
    </row>
    <row r="185" spans="1:5">
      <c r="A185" s="453"/>
      <c r="B185" s="471" t="s">
        <v>583</v>
      </c>
      <c r="C185" s="497" t="s">
        <v>788</v>
      </c>
      <c r="D185" s="480">
        <f t="shared" ref="D185:D186" si="2">2068.10345*1.16</f>
        <v>2399.0000019999998</v>
      </c>
      <c r="E185" s="449"/>
    </row>
    <row r="186" spans="1:5">
      <c r="A186" s="453"/>
      <c r="B186" s="471" t="s">
        <v>584</v>
      </c>
      <c r="C186" s="497" t="s">
        <v>788</v>
      </c>
      <c r="D186" s="480">
        <f t="shared" si="2"/>
        <v>2399.0000019999998</v>
      </c>
      <c r="E186" s="449"/>
    </row>
    <row r="187" spans="1:5">
      <c r="A187" s="453"/>
      <c r="B187" s="471" t="s">
        <v>585</v>
      </c>
      <c r="C187" s="497" t="s">
        <v>807</v>
      </c>
      <c r="D187" s="480">
        <v>522</v>
      </c>
      <c r="E187" s="449"/>
    </row>
    <row r="188" spans="1:5">
      <c r="A188" s="453"/>
      <c r="B188" s="471" t="s">
        <v>586</v>
      </c>
      <c r="C188" s="497" t="s">
        <v>807</v>
      </c>
      <c r="D188" s="480">
        <v>522</v>
      </c>
      <c r="E188" s="449"/>
    </row>
    <row r="189" spans="1:5">
      <c r="A189" s="453"/>
      <c r="B189" s="471" t="s">
        <v>587</v>
      </c>
      <c r="C189" s="497" t="s">
        <v>807</v>
      </c>
      <c r="D189" s="480">
        <v>522</v>
      </c>
      <c r="E189" s="449"/>
    </row>
    <row r="190" spans="1:5" ht="36">
      <c r="A190" s="453"/>
      <c r="B190" s="483" t="s">
        <v>588</v>
      </c>
      <c r="C190" s="500" t="s">
        <v>808</v>
      </c>
      <c r="D190" s="478">
        <v>76990</v>
      </c>
      <c r="E190" s="449"/>
    </row>
    <row r="191" spans="1:5">
      <c r="A191" s="453"/>
      <c r="B191" s="484" t="s">
        <v>589</v>
      </c>
      <c r="C191" s="489" t="s">
        <v>809</v>
      </c>
      <c r="D191" s="480">
        <v>2023.5</v>
      </c>
      <c r="E191" s="449"/>
    </row>
    <row r="192" spans="1:5">
      <c r="A192" s="453"/>
      <c r="B192" s="484" t="s">
        <v>590</v>
      </c>
      <c r="C192" s="489" t="s">
        <v>810</v>
      </c>
      <c r="D192" s="480">
        <v>3213.64</v>
      </c>
      <c r="E192" s="449"/>
    </row>
    <row r="193" spans="1:5" ht="67.5">
      <c r="A193" s="453"/>
      <c r="B193" s="484" t="s">
        <v>591</v>
      </c>
      <c r="C193" s="501" t="s">
        <v>811</v>
      </c>
      <c r="D193" s="480">
        <f>6234.736*1.15</f>
        <v>7169.9463999999989</v>
      </c>
      <c r="E193" s="449"/>
    </row>
    <row r="194" spans="1:5">
      <c r="A194" s="453"/>
      <c r="B194" s="484" t="s">
        <v>592</v>
      </c>
      <c r="C194" s="498" t="s">
        <v>812</v>
      </c>
      <c r="D194" s="480">
        <v>4181.2299999999996</v>
      </c>
      <c r="E194" s="449"/>
    </row>
    <row r="195" spans="1:5">
      <c r="A195" s="453"/>
      <c r="B195" s="484" t="s">
        <v>593</v>
      </c>
      <c r="C195" s="497" t="s">
        <v>813</v>
      </c>
      <c r="D195" s="480">
        <f>888.41*1.15</f>
        <v>1021.6714999999999</v>
      </c>
      <c r="E195" s="449"/>
    </row>
    <row r="196" spans="1:5">
      <c r="A196" s="453"/>
      <c r="B196" s="484" t="s">
        <v>594</v>
      </c>
      <c r="C196" s="497" t="s">
        <v>814</v>
      </c>
      <c r="D196" s="480">
        <f>2717.75*1.15</f>
        <v>3125.4124999999999</v>
      </c>
      <c r="E196" s="449"/>
    </row>
    <row r="197" spans="1:5">
      <c r="A197" s="453"/>
      <c r="B197" s="484"/>
      <c r="C197" s="497" t="s">
        <v>815</v>
      </c>
      <c r="D197" s="480">
        <f>1980.135*1.15</f>
        <v>2277.1552499999998</v>
      </c>
      <c r="E197" s="449"/>
    </row>
    <row r="198" spans="1:5">
      <c r="A198" s="453"/>
      <c r="B198" s="484" t="s">
        <v>595</v>
      </c>
      <c r="C198" s="497" t="s">
        <v>816</v>
      </c>
      <c r="D198" s="480">
        <v>1207.72</v>
      </c>
      <c r="E198" s="449"/>
    </row>
    <row r="199" spans="1:5">
      <c r="A199" s="453"/>
      <c r="B199" s="484" t="s">
        <v>596</v>
      </c>
      <c r="C199" s="497" t="s">
        <v>816</v>
      </c>
      <c r="D199" s="480">
        <v>1207.72</v>
      </c>
      <c r="E199" s="449"/>
    </row>
    <row r="200" spans="1:5">
      <c r="A200" s="453"/>
      <c r="B200" s="484" t="s">
        <v>597</v>
      </c>
      <c r="C200" s="497" t="s">
        <v>816</v>
      </c>
      <c r="D200" s="480">
        <v>1207.72</v>
      </c>
      <c r="E200" s="449"/>
    </row>
    <row r="201" spans="1:5">
      <c r="A201" s="453"/>
      <c r="B201" s="484" t="s">
        <v>598</v>
      </c>
      <c r="C201" s="497" t="s">
        <v>816</v>
      </c>
      <c r="D201" s="480">
        <v>1207.71</v>
      </c>
      <c r="E201" s="449"/>
    </row>
    <row r="202" spans="1:5">
      <c r="A202" s="453"/>
      <c r="B202" s="484" t="s">
        <v>599</v>
      </c>
      <c r="C202" s="497" t="s">
        <v>817</v>
      </c>
      <c r="D202" s="480">
        <v>3391.29</v>
      </c>
      <c r="E202" s="449"/>
    </row>
    <row r="203" spans="1:5">
      <c r="A203" s="453"/>
      <c r="B203" s="484" t="s">
        <v>600</v>
      </c>
      <c r="C203" s="497" t="s">
        <v>818</v>
      </c>
      <c r="D203" s="480">
        <v>313.87</v>
      </c>
      <c r="E203" s="449"/>
    </row>
    <row r="204" spans="1:5">
      <c r="A204" s="453"/>
      <c r="B204" s="484" t="s">
        <v>601</v>
      </c>
      <c r="C204" s="497" t="s">
        <v>819</v>
      </c>
      <c r="D204" s="480">
        <v>18500.05</v>
      </c>
      <c r="E204" s="449"/>
    </row>
    <row r="205" spans="1:5">
      <c r="A205" s="453"/>
      <c r="B205" s="484" t="s">
        <v>602</v>
      </c>
      <c r="C205" s="497" t="s">
        <v>820</v>
      </c>
      <c r="D205" s="480">
        <v>0</v>
      </c>
      <c r="E205" s="449"/>
    </row>
    <row r="206" spans="1:5">
      <c r="A206" s="453"/>
      <c r="B206" s="484" t="s">
        <v>603</v>
      </c>
      <c r="C206" s="497" t="s">
        <v>821</v>
      </c>
      <c r="D206" s="480">
        <v>0</v>
      </c>
      <c r="E206" s="449"/>
    </row>
    <row r="207" spans="1:5">
      <c r="A207" s="453"/>
      <c r="B207" s="484" t="s">
        <v>604</v>
      </c>
      <c r="C207" s="497" t="s">
        <v>822</v>
      </c>
      <c r="D207" s="480">
        <v>0</v>
      </c>
      <c r="E207" s="449"/>
    </row>
    <row r="208" spans="1:5">
      <c r="A208" s="454"/>
      <c r="B208" s="485" t="s">
        <v>605</v>
      </c>
      <c r="C208" s="502" t="s">
        <v>823</v>
      </c>
      <c r="D208" s="482">
        <v>0</v>
      </c>
      <c r="E208" s="450"/>
    </row>
    <row r="209" spans="1:5">
      <c r="A209" s="468"/>
      <c r="B209" s="470" t="s">
        <v>391</v>
      </c>
      <c r="C209" s="488" t="s">
        <v>392</v>
      </c>
      <c r="D209" s="473" t="s">
        <v>393</v>
      </c>
      <c r="E209" s="469"/>
    </row>
    <row r="210" spans="1:5">
      <c r="A210" s="453"/>
      <c r="B210" s="484" t="s">
        <v>606</v>
      </c>
      <c r="C210" s="497" t="s">
        <v>824</v>
      </c>
      <c r="D210" s="480">
        <f>4522*1.15</f>
        <v>5200.2999999999993</v>
      </c>
      <c r="E210" s="449"/>
    </row>
    <row r="211" spans="1:5">
      <c r="A211" s="453"/>
      <c r="B211" s="484" t="s">
        <v>607</v>
      </c>
      <c r="C211" s="497" t="s">
        <v>821</v>
      </c>
      <c r="D211" s="480">
        <v>18500.05</v>
      </c>
      <c r="E211" s="449"/>
    </row>
    <row r="212" spans="1:5">
      <c r="A212" s="453"/>
      <c r="B212" s="484" t="s">
        <v>608</v>
      </c>
      <c r="C212" s="497" t="s">
        <v>822</v>
      </c>
      <c r="D212" s="480">
        <v>0</v>
      </c>
      <c r="E212" s="449"/>
    </row>
    <row r="213" spans="1:5">
      <c r="A213" s="453"/>
      <c r="B213" s="484" t="s">
        <v>609</v>
      </c>
      <c r="C213" s="497" t="s">
        <v>819</v>
      </c>
      <c r="D213" s="480">
        <v>0</v>
      </c>
      <c r="E213" s="449"/>
    </row>
    <row r="214" spans="1:5">
      <c r="A214" s="453"/>
      <c r="B214" s="484" t="s">
        <v>610</v>
      </c>
      <c r="C214" s="497" t="s">
        <v>820</v>
      </c>
      <c r="D214" s="480">
        <v>0</v>
      </c>
      <c r="E214" s="449"/>
    </row>
    <row r="215" spans="1:5">
      <c r="A215" s="453"/>
      <c r="B215" s="484" t="s">
        <v>611</v>
      </c>
      <c r="C215" s="497" t="s">
        <v>824</v>
      </c>
      <c r="D215" s="480">
        <v>5200.6000000000004</v>
      </c>
      <c r="E215" s="449"/>
    </row>
    <row r="216" spans="1:5">
      <c r="A216" s="453"/>
      <c r="B216" s="484" t="s">
        <v>580</v>
      </c>
      <c r="C216" s="497" t="s">
        <v>821</v>
      </c>
      <c r="D216" s="480">
        <f>15520*1.15</f>
        <v>17848</v>
      </c>
      <c r="E216" s="449"/>
    </row>
    <row r="217" spans="1:5">
      <c r="A217" s="453"/>
      <c r="B217" s="484" t="s">
        <v>612</v>
      </c>
      <c r="C217" s="497" t="s">
        <v>822</v>
      </c>
      <c r="D217" s="480"/>
      <c r="E217" s="449"/>
    </row>
    <row r="218" spans="1:5">
      <c r="A218" s="453"/>
      <c r="B218" s="484" t="s">
        <v>613</v>
      </c>
      <c r="C218" s="497" t="s">
        <v>820</v>
      </c>
      <c r="D218" s="480"/>
      <c r="E218" s="449"/>
    </row>
    <row r="219" spans="1:5">
      <c r="A219" s="453"/>
      <c r="B219" s="484" t="s">
        <v>614</v>
      </c>
      <c r="C219" s="497" t="s">
        <v>825</v>
      </c>
      <c r="D219" s="480"/>
      <c r="E219" s="449"/>
    </row>
    <row r="220" spans="1:5">
      <c r="A220" s="453"/>
      <c r="B220" s="484" t="s">
        <v>615</v>
      </c>
      <c r="C220" s="497" t="s">
        <v>824</v>
      </c>
      <c r="D220" s="480">
        <f>4720*1.15</f>
        <v>5428</v>
      </c>
      <c r="E220" s="449"/>
    </row>
    <row r="221" spans="1:5">
      <c r="A221" s="453"/>
      <c r="B221" s="484" t="s">
        <v>616</v>
      </c>
      <c r="C221" s="497" t="s">
        <v>826</v>
      </c>
      <c r="D221" s="480"/>
      <c r="E221" s="449"/>
    </row>
    <row r="222" spans="1:5">
      <c r="A222" s="453"/>
      <c r="B222" s="484" t="s">
        <v>617</v>
      </c>
      <c r="C222" s="497" t="s">
        <v>827</v>
      </c>
      <c r="D222" s="480"/>
      <c r="E222" s="449"/>
    </row>
    <row r="223" spans="1:5">
      <c r="A223" s="453"/>
      <c r="B223" s="484" t="s">
        <v>618</v>
      </c>
      <c r="C223" s="497" t="s">
        <v>828</v>
      </c>
      <c r="D223" s="480"/>
      <c r="E223" s="449"/>
    </row>
    <row r="224" spans="1:5">
      <c r="A224" s="453"/>
      <c r="B224" s="484" t="s">
        <v>619</v>
      </c>
      <c r="C224" s="497" t="s">
        <v>821</v>
      </c>
      <c r="D224" s="480">
        <v>0</v>
      </c>
      <c r="E224" s="449"/>
    </row>
    <row r="225" spans="1:5">
      <c r="A225" s="453"/>
      <c r="B225" s="484" t="s">
        <v>620</v>
      </c>
      <c r="C225" s="497" t="s">
        <v>822</v>
      </c>
      <c r="D225" s="480">
        <v>17848</v>
      </c>
      <c r="E225" s="449"/>
    </row>
    <row r="226" spans="1:5">
      <c r="A226" s="453"/>
      <c r="B226" s="484" t="s">
        <v>621</v>
      </c>
      <c r="C226" s="497" t="s">
        <v>820</v>
      </c>
      <c r="D226" s="480"/>
      <c r="E226" s="449"/>
    </row>
    <row r="227" spans="1:5">
      <c r="A227" s="453"/>
      <c r="B227" s="484" t="s">
        <v>622</v>
      </c>
      <c r="C227" s="497" t="s">
        <v>825</v>
      </c>
      <c r="D227" s="480"/>
      <c r="E227" s="449"/>
    </row>
    <row r="228" spans="1:5">
      <c r="A228" s="453"/>
      <c r="B228" s="484" t="s">
        <v>623</v>
      </c>
      <c r="C228" s="497" t="s">
        <v>824</v>
      </c>
      <c r="D228" s="480">
        <f>4720*1.15</f>
        <v>5428</v>
      </c>
      <c r="E228" s="449"/>
    </row>
    <row r="229" spans="1:5">
      <c r="A229" s="453"/>
      <c r="B229" s="484" t="s">
        <v>624</v>
      </c>
      <c r="C229" s="497" t="s">
        <v>826</v>
      </c>
      <c r="D229" s="480"/>
      <c r="E229" s="449"/>
    </row>
    <row r="230" spans="1:5">
      <c r="A230" s="453"/>
      <c r="B230" s="484" t="s">
        <v>625</v>
      </c>
      <c r="C230" s="497" t="s">
        <v>827</v>
      </c>
      <c r="D230" s="480"/>
      <c r="E230" s="449"/>
    </row>
    <row r="231" spans="1:5">
      <c r="A231" s="453"/>
      <c r="B231" s="484" t="s">
        <v>626</v>
      </c>
      <c r="C231" s="497" t="s">
        <v>828</v>
      </c>
      <c r="D231" s="480"/>
      <c r="E231" s="449"/>
    </row>
    <row r="232" spans="1:5" ht="24">
      <c r="A232" s="453"/>
      <c r="B232" s="484" t="s">
        <v>627</v>
      </c>
      <c r="C232" s="497" t="s">
        <v>829</v>
      </c>
      <c r="D232" s="480">
        <v>30992.5</v>
      </c>
      <c r="E232" s="449"/>
    </row>
    <row r="233" spans="1:5">
      <c r="A233" s="453"/>
      <c r="B233" s="484" t="s">
        <v>628</v>
      </c>
      <c r="C233" s="497" t="s">
        <v>830</v>
      </c>
      <c r="D233" s="480">
        <f>95*1.15</f>
        <v>109.24999999999999</v>
      </c>
      <c r="E233" s="449"/>
    </row>
    <row r="234" spans="1:5">
      <c r="A234" s="453"/>
      <c r="B234" s="484" t="s">
        <v>629</v>
      </c>
      <c r="C234" s="497" t="s">
        <v>830</v>
      </c>
      <c r="D234" s="480">
        <f>95*1.15</f>
        <v>109.24999999999999</v>
      </c>
      <c r="E234" s="449"/>
    </row>
    <row r="235" spans="1:5">
      <c r="A235" s="453"/>
      <c r="B235" s="471" t="s">
        <v>630</v>
      </c>
      <c r="C235" s="497" t="s">
        <v>831</v>
      </c>
      <c r="D235" s="480">
        <v>3999</v>
      </c>
      <c r="E235" s="449"/>
    </row>
    <row r="236" spans="1:5">
      <c r="A236" s="453"/>
      <c r="B236" s="471" t="s">
        <v>631</v>
      </c>
      <c r="C236" s="497" t="s">
        <v>832</v>
      </c>
      <c r="D236" s="480">
        <v>199</v>
      </c>
      <c r="E236" s="449"/>
    </row>
    <row r="237" spans="1:5">
      <c r="A237" s="453"/>
      <c r="B237" s="471" t="s">
        <v>632</v>
      </c>
      <c r="C237" s="497" t="s">
        <v>833</v>
      </c>
      <c r="D237" s="480">
        <v>178.99</v>
      </c>
      <c r="E237" s="449"/>
    </row>
    <row r="238" spans="1:5">
      <c r="A238" s="453"/>
      <c r="B238" s="471" t="s">
        <v>633</v>
      </c>
      <c r="C238" s="497" t="s">
        <v>834</v>
      </c>
      <c r="D238" s="480">
        <v>9860</v>
      </c>
      <c r="E238" s="449"/>
    </row>
    <row r="239" spans="1:5">
      <c r="A239" s="453"/>
      <c r="B239" s="471" t="s">
        <v>634</v>
      </c>
      <c r="C239" s="497" t="s">
        <v>834</v>
      </c>
      <c r="D239" s="480">
        <v>9860</v>
      </c>
      <c r="E239" s="449"/>
    </row>
    <row r="240" spans="1:5">
      <c r="A240" s="453"/>
      <c r="B240" s="471" t="s">
        <v>635</v>
      </c>
      <c r="C240" s="497" t="s">
        <v>835</v>
      </c>
      <c r="D240" s="480">
        <f>3275.86*1.16</f>
        <v>3799.9975999999997</v>
      </c>
      <c r="E240" s="449"/>
    </row>
    <row r="241" spans="1:5">
      <c r="A241" s="453"/>
      <c r="B241" s="471" t="s">
        <v>636</v>
      </c>
      <c r="C241" s="497" t="s">
        <v>835</v>
      </c>
      <c r="D241" s="480">
        <f>3275.86*1.16</f>
        <v>3799.9975999999997</v>
      </c>
      <c r="E241" s="449"/>
    </row>
    <row r="242" spans="1:5">
      <c r="A242" s="453"/>
      <c r="B242" s="471" t="s">
        <v>637</v>
      </c>
      <c r="C242" s="497" t="s">
        <v>836</v>
      </c>
      <c r="D242" s="480">
        <v>9976</v>
      </c>
      <c r="E242" s="449"/>
    </row>
    <row r="243" spans="1:5">
      <c r="A243" s="453"/>
      <c r="B243" s="471" t="s">
        <v>638</v>
      </c>
      <c r="C243" s="497" t="s">
        <v>836</v>
      </c>
      <c r="D243" s="480">
        <v>9976</v>
      </c>
      <c r="E243" s="449"/>
    </row>
    <row r="244" spans="1:5">
      <c r="A244" s="453"/>
      <c r="B244" s="471" t="s">
        <v>639</v>
      </c>
      <c r="C244" s="497" t="s">
        <v>837</v>
      </c>
      <c r="D244" s="481">
        <v>8816</v>
      </c>
      <c r="E244" s="449"/>
    </row>
    <row r="245" spans="1:5">
      <c r="A245" s="453"/>
      <c r="B245" s="471" t="s">
        <v>640</v>
      </c>
      <c r="C245" s="497" t="s">
        <v>837</v>
      </c>
      <c r="D245" s="481">
        <v>8816</v>
      </c>
      <c r="E245" s="449"/>
    </row>
    <row r="246" spans="1:5">
      <c r="A246" s="453"/>
      <c r="B246" s="471" t="s">
        <v>641</v>
      </c>
      <c r="C246" s="498" t="s">
        <v>764</v>
      </c>
      <c r="D246" s="474">
        <f>591.3*1.15</f>
        <v>679.99499999999989</v>
      </c>
      <c r="E246" s="449"/>
    </row>
    <row r="247" spans="1:5">
      <c r="A247" s="453"/>
      <c r="B247" s="471" t="s">
        <v>642</v>
      </c>
      <c r="C247" s="498" t="s">
        <v>838</v>
      </c>
      <c r="D247" s="474">
        <f>1608.7*1.15</f>
        <v>1850.0049999999999</v>
      </c>
      <c r="E247" s="449"/>
    </row>
    <row r="248" spans="1:5">
      <c r="A248" s="453"/>
      <c r="B248" s="471" t="s">
        <v>643</v>
      </c>
      <c r="C248" s="498" t="s">
        <v>839</v>
      </c>
      <c r="D248" s="474">
        <f>1304.35*1.15</f>
        <v>1500.0024999999998</v>
      </c>
      <c r="E248" s="449"/>
    </row>
    <row r="249" spans="1:5">
      <c r="A249" s="453"/>
      <c r="B249" s="471" t="s">
        <v>644</v>
      </c>
      <c r="C249" s="498" t="s">
        <v>840</v>
      </c>
      <c r="D249" s="474">
        <v>1700</v>
      </c>
      <c r="E249" s="449"/>
    </row>
    <row r="250" spans="1:5">
      <c r="A250" s="453"/>
      <c r="B250" s="471" t="s">
        <v>645</v>
      </c>
      <c r="C250" s="498" t="s">
        <v>841</v>
      </c>
      <c r="D250" s="474">
        <v>2399</v>
      </c>
      <c r="E250" s="449"/>
    </row>
    <row r="251" spans="1:5">
      <c r="A251" s="453"/>
      <c r="B251" s="471" t="s">
        <v>646</v>
      </c>
      <c r="C251" s="498" t="s">
        <v>842</v>
      </c>
      <c r="D251" s="474">
        <v>999</v>
      </c>
      <c r="E251" s="449"/>
    </row>
    <row r="252" spans="1:5">
      <c r="A252" s="453"/>
      <c r="B252" s="471" t="s">
        <v>647</v>
      </c>
      <c r="C252" s="498" t="s">
        <v>843</v>
      </c>
      <c r="D252" s="474">
        <v>899</v>
      </c>
      <c r="E252" s="449"/>
    </row>
    <row r="253" spans="1:5">
      <c r="A253" s="453"/>
      <c r="B253" s="471" t="s">
        <v>648</v>
      </c>
      <c r="C253" s="498" t="s">
        <v>844</v>
      </c>
      <c r="D253" s="474">
        <v>420.32</v>
      </c>
      <c r="E253" s="449"/>
    </row>
    <row r="254" spans="1:5">
      <c r="A254" s="453"/>
      <c r="B254" s="471" t="s">
        <v>649</v>
      </c>
      <c r="C254" s="489" t="s">
        <v>845</v>
      </c>
      <c r="D254" s="474">
        <f>2465*1.15</f>
        <v>2834.75</v>
      </c>
      <c r="E254" s="449"/>
    </row>
    <row r="255" spans="1:5">
      <c r="A255" s="453"/>
      <c r="B255" s="471" t="s">
        <v>650</v>
      </c>
      <c r="C255" s="498" t="s">
        <v>846</v>
      </c>
      <c r="D255" s="474">
        <f>425*1.15</f>
        <v>488.74999999999994</v>
      </c>
      <c r="E255" s="449"/>
    </row>
    <row r="256" spans="1:5">
      <c r="A256" s="453"/>
      <c r="B256" s="471" t="s">
        <v>651</v>
      </c>
      <c r="C256" s="498" t="s">
        <v>847</v>
      </c>
      <c r="D256" s="474">
        <f>340*1.15</f>
        <v>390.99999999999994</v>
      </c>
      <c r="E256" s="449"/>
    </row>
    <row r="257" spans="1:5">
      <c r="A257" s="453"/>
      <c r="B257" s="471" t="s">
        <v>652</v>
      </c>
      <c r="C257" s="498" t="s">
        <v>848</v>
      </c>
      <c r="D257" s="474">
        <f>1434.78*1.15</f>
        <v>1649.9969999999998</v>
      </c>
      <c r="E257" s="449"/>
    </row>
    <row r="258" spans="1:5">
      <c r="A258" s="453"/>
      <c r="B258" s="471" t="s">
        <v>653</v>
      </c>
      <c r="C258" s="498" t="s">
        <v>849</v>
      </c>
      <c r="D258" s="474">
        <f>728.7*1.15</f>
        <v>838.005</v>
      </c>
      <c r="E258" s="449"/>
    </row>
    <row r="259" spans="1:5">
      <c r="A259" s="453"/>
      <c r="B259" s="471" t="s">
        <v>654</v>
      </c>
      <c r="C259" s="489" t="s">
        <v>850</v>
      </c>
      <c r="D259" s="474">
        <f>2800*1.15</f>
        <v>3219.9999999999995</v>
      </c>
      <c r="E259" s="449"/>
    </row>
    <row r="260" spans="1:5">
      <c r="A260" s="453"/>
      <c r="B260" s="471" t="s">
        <v>655</v>
      </c>
      <c r="C260" s="498" t="s">
        <v>851</v>
      </c>
      <c r="D260" s="474">
        <v>340</v>
      </c>
      <c r="E260" s="449"/>
    </row>
    <row r="261" spans="1:5">
      <c r="A261" s="453"/>
      <c r="B261" s="471" t="s">
        <v>656</v>
      </c>
      <c r="C261" s="498" t="s">
        <v>851</v>
      </c>
      <c r="D261" s="474">
        <v>340</v>
      </c>
      <c r="E261" s="449"/>
    </row>
    <row r="262" spans="1:5">
      <c r="A262" s="454"/>
      <c r="B262" s="472" t="s">
        <v>657</v>
      </c>
      <c r="C262" s="503" t="s">
        <v>852</v>
      </c>
      <c r="D262" s="475">
        <f>1495.65*1.15</f>
        <v>1719.9974999999999</v>
      </c>
      <c r="E262" s="450"/>
    </row>
    <row r="263" spans="1:5">
      <c r="A263" s="468"/>
      <c r="B263" s="470" t="s">
        <v>391</v>
      </c>
      <c r="C263" s="488" t="s">
        <v>392</v>
      </c>
      <c r="D263" s="473" t="s">
        <v>393</v>
      </c>
      <c r="E263" s="469"/>
    </row>
    <row r="264" spans="1:5">
      <c r="A264" s="453"/>
      <c r="B264" s="471" t="s">
        <v>658</v>
      </c>
      <c r="C264" s="498" t="s">
        <v>853</v>
      </c>
      <c r="D264" s="474">
        <f>295.5*1.15</f>
        <v>339.82499999999999</v>
      </c>
      <c r="E264" s="449"/>
    </row>
    <row r="265" spans="1:5">
      <c r="A265" s="453"/>
      <c r="B265" s="471" t="s">
        <v>658</v>
      </c>
      <c r="C265" s="498" t="s">
        <v>854</v>
      </c>
      <c r="D265" s="474">
        <f>143.49*1.15</f>
        <v>165.01349999999999</v>
      </c>
      <c r="E265" s="449"/>
    </row>
    <row r="266" spans="1:5">
      <c r="A266" s="453"/>
      <c r="B266" s="471" t="s">
        <v>658</v>
      </c>
      <c r="C266" s="498" t="s">
        <v>855</v>
      </c>
      <c r="D266" s="474">
        <f>73.91*1.15</f>
        <v>84.996499999999983</v>
      </c>
      <c r="E266" s="449"/>
    </row>
    <row r="267" spans="1:5">
      <c r="A267" s="453"/>
      <c r="B267" s="471" t="s">
        <v>658</v>
      </c>
      <c r="C267" s="498" t="s">
        <v>856</v>
      </c>
      <c r="D267" s="474">
        <f>67.83*1.15</f>
        <v>78.004499999999993</v>
      </c>
      <c r="E267" s="449"/>
    </row>
    <row r="268" spans="1:5">
      <c r="A268" s="453"/>
      <c r="B268" s="471" t="s">
        <v>658</v>
      </c>
      <c r="C268" s="498" t="s">
        <v>857</v>
      </c>
      <c r="D268" s="474">
        <f>56.52*1.15</f>
        <v>64.998000000000005</v>
      </c>
      <c r="E268" s="449"/>
    </row>
    <row r="269" spans="1:5">
      <c r="A269" s="453"/>
      <c r="B269" s="471" t="s">
        <v>658</v>
      </c>
      <c r="C269" s="498" t="s">
        <v>858</v>
      </c>
      <c r="D269" s="474">
        <f>622.61*1.15</f>
        <v>716.00149999999996</v>
      </c>
      <c r="E269" s="449"/>
    </row>
    <row r="270" spans="1:5">
      <c r="A270" s="453"/>
      <c r="B270" s="471" t="s">
        <v>658</v>
      </c>
      <c r="C270" s="498" t="s">
        <v>859</v>
      </c>
      <c r="D270" s="474">
        <f>229.56*1.15</f>
        <v>263.99399999999997</v>
      </c>
      <c r="E270" s="449"/>
    </row>
    <row r="271" spans="1:5">
      <c r="A271" s="453"/>
      <c r="B271" s="471" t="s">
        <v>658</v>
      </c>
      <c r="C271" s="498" t="s">
        <v>860</v>
      </c>
      <c r="D271" s="474">
        <f>1339.14*1.15</f>
        <v>1540.011</v>
      </c>
      <c r="E271" s="449"/>
    </row>
    <row r="272" spans="1:5">
      <c r="A272" s="453"/>
      <c r="B272" s="471" t="s">
        <v>658</v>
      </c>
      <c r="C272" s="498" t="s">
        <v>861</v>
      </c>
      <c r="D272" s="474">
        <f>730*1.15</f>
        <v>839.49999999999989</v>
      </c>
      <c r="E272" s="449"/>
    </row>
    <row r="273" spans="1:5">
      <c r="A273" s="453"/>
      <c r="B273" s="471" t="s">
        <v>658</v>
      </c>
      <c r="C273" s="498" t="s">
        <v>862</v>
      </c>
      <c r="D273" s="474">
        <f>173.9*1.15</f>
        <v>199.98499999999999</v>
      </c>
      <c r="E273" s="449"/>
    </row>
    <row r="274" spans="1:5">
      <c r="A274" s="453"/>
      <c r="B274" s="471" t="s">
        <v>658</v>
      </c>
      <c r="C274" s="498" t="s">
        <v>863</v>
      </c>
      <c r="D274" s="474">
        <f>348*1.15</f>
        <v>400.2</v>
      </c>
      <c r="E274" s="449"/>
    </row>
    <row r="275" spans="1:5">
      <c r="A275" s="453"/>
      <c r="B275" s="471" t="s">
        <v>658</v>
      </c>
      <c r="C275" s="498" t="s">
        <v>864</v>
      </c>
      <c r="D275" s="474">
        <f>43.5*1.15</f>
        <v>50.024999999999999</v>
      </c>
      <c r="E275" s="449"/>
    </row>
    <row r="276" spans="1:5">
      <c r="A276" s="453"/>
      <c r="B276" s="471" t="s">
        <v>658</v>
      </c>
      <c r="C276" s="498" t="s">
        <v>865</v>
      </c>
      <c r="D276" s="474">
        <f>66.08*1.15</f>
        <v>75.99199999999999</v>
      </c>
      <c r="E276" s="449"/>
    </row>
    <row r="277" spans="1:5">
      <c r="A277" s="453"/>
      <c r="B277" s="471" t="s">
        <v>658</v>
      </c>
      <c r="C277" s="498" t="s">
        <v>866</v>
      </c>
      <c r="D277" s="474">
        <f>1147.82*1.15</f>
        <v>1319.9929999999999</v>
      </c>
      <c r="E277" s="449"/>
    </row>
    <row r="278" spans="1:5">
      <c r="A278" s="453"/>
      <c r="B278" s="471" t="s">
        <v>658</v>
      </c>
      <c r="C278" s="498" t="s">
        <v>867</v>
      </c>
      <c r="D278" s="474">
        <f>339*1.15</f>
        <v>389.84999999999997</v>
      </c>
      <c r="E278" s="449"/>
    </row>
    <row r="279" spans="1:5">
      <c r="A279" s="453"/>
      <c r="B279" s="471" t="s">
        <v>658</v>
      </c>
      <c r="C279" s="498" t="s">
        <v>868</v>
      </c>
      <c r="D279" s="474">
        <f>391.5*1.15</f>
        <v>450.22499999999997</v>
      </c>
      <c r="E279" s="449"/>
    </row>
    <row r="280" spans="1:5">
      <c r="A280" s="453"/>
      <c r="B280" s="471" t="s">
        <v>658</v>
      </c>
      <c r="C280" s="498" t="s">
        <v>869</v>
      </c>
      <c r="D280" s="474">
        <f>151.5*1.15</f>
        <v>174.22499999999999</v>
      </c>
      <c r="E280" s="449"/>
    </row>
    <row r="281" spans="1:5">
      <c r="A281" s="453"/>
      <c r="B281" s="471" t="s">
        <v>659</v>
      </c>
      <c r="C281" s="498" t="s">
        <v>870</v>
      </c>
      <c r="D281" s="474">
        <f>1434.78*1.15</f>
        <v>1649.9969999999998</v>
      </c>
      <c r="E281" s="449"/>
    </row>
    <row r="282" spans="1:5">
      <c r="A282" s="453"/>
      <c r="B282" s="471" t="s">
        <v>658</v>
      </c>
      <c r="C282" s="498" t="s">
        <v>871</v>
      </c>
      <c r="D282" s="474">
        <f>73.05*1.15</f>
        <v>84.007499999999993</v>
      </c>
      <c r="E282" s="449"/>
    </row>
    <row r="283" spans="1:5">
      <c r="A283" s="453"/>
      <c r="B283" s="471" t="s">
        <v>660</v>
      </c>
      <c r="C283" s="498" t="s">
        <v>872</v>
      </c>
      <c r="D283" s="474">
        <v>127.995</v>
      </c>
      <c r="E283" s="449"/>
    </row>
    <row r="284" spans="1:5">
      <c r="A284" s="453"/>
      <c r="B284" s="471" t="s">
        <v>661</v>
      </c>
      <c r="C284" s="498" t="s">
        <v>872</v>
      </c>
      <c r="D284" s="474">
        <v>127.995</v>
      </c>
      <c r="E284" s="449"/>
    </row>
    <row r="285" spans="1:5">
      <c r="A285" s="453"/>
      <c r="B285" s="471" t="s">
        <v>658</v>
      </c>
      <c r="C285" s="498" t="s">
        <v>873</v>
      </c>
      <c r="D285" s="474">
        <f>330.43*1.15</f>
        <v>379.99449999999996</v>
      </c>
      <c r="E285" s="449"/>
    </row>
    <row r="286" spans="1:5">
      <c r="A286" s="453"/>
      <c r="B286" s="471" t="s">
        <v>658</v>
      </c>
      <c r="C286" s="498" t="s">
        <v>874</v>
      </c>
      <c r="D286" s="474">
        <f>988.71*1.15</f>
        <v>1137.0165</v>
      </c>
      <c r="E286" s="449"/>
    </row>
    <row r="287" spans="1:5">
      <c r="A287" s="453"/>
      <c r="B287" s="471" t="s">
        <v>658</v>
      </c>
      <c r="C287" s="498" t="s">
        <v>875</v>
      </c>
      <c r="D287" s="474">
        <f>339.15*1.15</f>
        <v>390.02249999999992</v>
      </c>
      <c r="E287" s="449"/>
    </row>
    <row r="288" spans="1:5">
      <c r="A288" s="453"/>
      <c r="B288" s="471" t="s">
        <v>658</v>
      </c>
      <c r="C288" s="498" t="s">
        <v>876</v>
      </c>
      <c r="D288" s="474">
        <v>218.00550000000001</v>
      </c>
      <c r="E288" s="449"/>
    </row>
    <row r="289" spans="1:5">
      <c r="A289" s="453"/>
      <c r="B289" s="471" t="s">
        <v>658</v>
      </c>
      <c r="C289" s="498" t="s">
        <v>877</v>
      </c>
      <c r="D289" s="474">
        <f>417.39*1.15</f>
        <v>479.99849999999992</v>
      </c>
      <c r="E289" s="449"/>
    </row>
    <row r="290" spans="1:5">
      <c r="A290" s="453"/>
      <c r="B290" s="471" t="s">
        <v>658</v>
      </c>
      <c r="C290" s="498" t="s">
        <v>878</v>
      </c>
      <c r="D290" s="474">
        <v>158.02000000000001</v>
      </c>
      <c r="E290" s="449"/>
    </row>
    <row r="291" spans="1:5">
      <c r="A291" s="453"/>
      <c r="B291" s="471" t="s">
        <v>658</v>
      </c>
      <c r="C291" s="498" t="s">
        <v>879</v>
      </c>
      <c r="D291" s="474">
        <f>17.4*1.15</f>
        <v>20.009999999999998</v>
      </c>
      <c r="E291" s="449"/>
    </row>
    <row r="292" spans="1:5">
      <c r="A292" s="453"/>
      <c r="B292" s="471" t="s">
        <v>658</v>
      </c>
      <c r="C292" s="498" t="s">
        <v>880</v>
      </c>
      <c r="D292" s="474">
        <v>130.87</v>
      </c>
      <c r="E292" s="449"/>
    </row>
    <row r="293" spans="1:5">
      <c r="A293" s="453"/>
      <c r="B293" s="471" t="s">
        <v>658</v>
      </c>
      <c r="C293" s="498" t="s">
        <v>881</v>
      </c>
      <c r="D293" s="474">
        <v>288.82</v>
      </c>
      <c r="E293" s="449"/>
    </row>
    <row r="294" spans="1:5">
      <c r="A294" s="453"/>
      <c r="B294" s="471" t="s">
        <v>658</v>
      </c>
      <c r="C294" s="498" t="s">
        <v>882</v>
      </c>
      <c r="D294" s="474">
        <v>329.99</v>
      </c>
      <c r="E294" s="449"/>
    </row>
    <row r="295" spans="1:5">
      <c r="A295" s="453"/>
      <c r="B295" s="471" t="s">
        <v>658</v>
      </c>
      <c r="C295" s="498" t="s">
        <v>883</v>
      </c>
      <c r="D295" s="474">
        <f>165.01*1.15</f>
        <v>189.76149999999998</v>
      </c>
      <c r="E295" s="449"/>
    </row>
    <row r="296" spans="1:5">
      <c r="A296" s="453"/>
      <c r="B296" s="471" t="s">
        <v>658</v>
      </c>
      <c r="C296" s="498" t="s">
        <v>884</v>
      </c>
      <c r="D296" s="474">
        <v>324.99</v>
      </c>
      <c r="E296" s="449"/>
    </row>
    <row r="297" spans="1:5">
      <c r="A297" s="453"/>
      <c r="B297" s="471" t="s">
        <v>658</v>
      </c>
      <c r="C297" s="498" t="s">
        <v>885</v>
      </c>
      <c r="D297" s="474">
        <v>196.04</v>
      </c>
      <c r="E297" s="449"/>
    </row>
    <row r="298" spans="1:5">
      <c r="A298" s="453"/>
      <c r="B298" s="471" t="s">
        <v>658</v>
      </c>
      <c r="C298" s="498" t="s">
        <v>886</v>
      </c>
      <c r="D298" s="474">
        <f>95.66*1.15</f>
        <v>110.00899999999999</v>
      </c>
      <c r="E298" s="449"/>
    </row>
    <row r="299" spans="1:5">
      <c r="A299" s="453"/>
      <c r="B299" s="471" t="s">
        <v>658</v>
      </c>
      <c r="C299" s="498" t="s">
        <v>887</v>
      </c>
      <c r="D299" s="474">
        <f>78.26*1.15</f>
        <v>89.998999999999995</v>
      </c>
      <c r="E299" s="449"/>
    </row>
    <row r="300" spans="1:5">
      <c r="A300" s="453"/>
      <c r="B300" s="471" t="s">
        <v>658</v>
      </c>
      <c r="C300" s="498" t="s">
        <v>888</v>
      </c>
      <c r="D300" s="474">
        <f>66.08*1.15</f>
        <v>75.99199999999999</v>
      </c>
      <c r="E300" s="449"/>
    </row>
    <row r="301" spans="1:5">
      <c r="A301" s="453"/>
      <c r="B301" s="471" t="s">
        <v>658</v>
      </c>
      <c r="C301" s="498" t="s">
        <v>889</v>
      </c>
      <c r="D301" s="474">
        <f>34.785*1.15</f>
        <v>40.002749999999992</v>
      </c>
      <c r="E301" s="449"/>
    </row>
    <row r="302" spans="1:5">
      <c r="A302" s="453"/>
      <c r="B302" s="471" t="s">
        <v>658</v>
      </c>
      <c r="C302" s="498" t="s">
        <v>890</v>
      </c>
      <c r="D302" s="474">
        <f>45.215*1.15</f>
        <v>51.997250000000001</v>
      </c>
      <c r="E302" s="449"/>
    </row>
    <row r="303" spans="1:5">
      <c r="A303" s="453"/>
      <c r="B303" s="471" t="s">
        <v>658</v>
      </c>
      <c r="C303" s="498" t="s">
        <v>891</v>
      </c>
      <c r="D303" s="474">
        <f>69.56*1.15</f>
        <v>79.994</v>
      </c>
      <c r="E303" s="449"/>
    </row>
    <row r="304" spans="1:5">
      <c r="A304" s="453"/>
      <c r="B304" s="471" t="s">
        <v>658</v>
      </c>
      <c r="C304" s="498" t="s">
        <v>892</v>
      </c>
      <c r="D304" s="474">
        <f>74.44*1.15</f>
        <v>85.605999999999995</v>
      </c>
      <c r="E304" s="449"/>
    </row>
    <row r="305" spans="1:5">
      <c r="A305" s="453"/>
      <c r="B305" s="471" t="s">
        <v>658</v>
      </c>
      <c r="C305" s="498" t="s">
        <v>893</v>
      </c>
      <c r="D305" s="474">
        <f>27.82*1.15</f>
        <v>31.992999999999999</v>
      </c>
      <c r="E305" s="449"/>
    </row>
    <row r="306" spans="1:5">
      <c r="A306" s="453"/>
      <c r="B306" s="471" t="s">
        <v>658</v>
      </c>
      <c r="C306" s="498" t="s">
        <v>894</v>
      </c>
      <c r="D306" s="474">
        <f>26.96*1.15</f>
        <v>31.003999999999998</v>
      </c>
      <c r="E306" s="449"/>
    </row>
    <row r="307" spans="1:5">
      <c r="A307" s="453"/>
      <c r="B307" s="471" t="s">
        <v>658</v>
      </c>
      <c r="C307" s="489" t="s">
        <v>895</v>
      </c>
      <c r="D307" s="474">
        <f>19.14*1.15</f>
        <v>22.010999999999999</v>
      </c>
      <c r="E307" s="449"/>
    </row>
    <row r="308" spans="1:5">
      <c r="A308" s="453"/>
      <c r="B308" s="471" t="s">
        <v>658</v>
      </c>
      <c r="C308" s="498" t="s">
        <v>896</v>
      </c>
      <c r="D308" s="474">
        <f>39*1.15</f>
        <v>44.849999999999994</v>
      </c>
      <c r="E308" s="449"/>
    </row>
    <row r="309" spans="1:5">
      <c r="A309" s="453"/>
      <c r="B309" s="471" t="s">
        <v>658</v>
      </c>
      <c r="C309" s="498" t="s">
        <v>897</v>
      </c>
      <c r="D309" s="474">
        <f>39*1.15</f>
        <v>44.849999999999994</v>
      </c>
      <c r="E309" s="449"/>
    </row>
    <row r="310" spans="1:5">
      <c r="A310" s="453"/>
      <c r="B310" s="471" t="s">
        <v>658</v>
      </c>
      <c r="C310" s="498" t="s">
        <v>898</v>
      </c>
      <c r="D310" s="474">
        <f>47.1*1.15</f>
        <v>54.164999999999999</v>
      </c>
      <c r="E310" s="449"/>
    </row>
    <row r="311" spans="1:5">
      <c r="A311" s="453"/>
      <c r="B311" s="471" t="s">
        <v>658</v>
      </c>
      <c r="C311" s="498" t="s">
        <v>899</v>
      </c>
      <c r="D311" s="474">
        <f>109.5*1.15</f>
        <v>125.925</v>
      </c>
      <c r="E311" s="449"/>
    </row>
    <row r="312" spans="1:5">
      <c r="A312" s="453"/>
      <c r="B312" s="471" t="s">
        <v>658</v>
      </c>
      <c r="C312" s="498" t="s">
        <v>900</v>
      </c>
      <c r="D312" s="474">
        <f>87*1.15</f>
        <v>100.05</v>
      </c>
      <c r="E312" s="449"/>
    </row>
    <row r="313" spans="1:5">
      <c r="A313" s="453"/>
      <c r="B313" s="471" t="s">
        <v>658</v>
      </c>
      <c r="C313" s="498" t="s">
        <v>901</v>
      </c>
      <c r="D313" s="474">
        <f>173.9*1.15</f>
        <v>199.98499999999999</v>
      </c>
      <c r="E313" s="449"/>
    </row>
    <row r="314" spans="1:5">
      <c r="A314" s="453"/>
      <c r="B314" s="471" t="s">
        <v>658</v>
      </c>
      <c r="C314" s="498" t="s">
        <v>902</v>
      </c>
      <c r="D314" s="474">
        <f>321.74*1.15</f>
        <v>370.00099999999998</v>
      </c>
      <c r="E314" s="449"/>
    </row>
    <row r="315" spans="1:5">
      <c r="A315" s="453"/>
      <c r="B315" s="471" t="s">
        <v>658</v>
      </c>
      <c r="C315" s="498" t="s">
        <v>903</v>
      </c>
      <c r="D315" s="474">
        <f>125.22*1.15</f>
        <v>144.00299999999999</v>
      </c>
      <c r="E315" s="449"/>
    </row>
    <row r="316" spans="1:5">
      <c r="A316" s="453"/>
      <c r="B316" s="471" t="s">
        <v>658</v>
      </c>
      <c r="C316" s="498" t="s">
        <v>904</v>
      </c>
      <c r="D316" s="474">
        <f>413.05*1.15</f>
        <v>475.00749999999999</v>
      </c>
      <c r="E316" s="449"/>
    </row>
    <row r="317" spans="1:5">
      <c r="A317" s="454"/>
      <c r="B317" s="472" t="s">
        <v>658</v>
      </c>
      <c r="C317" s="499" t="s">
        <v>905</v>
      </c>
      <c r="D317" s="475">
        <f>15.6*1.15</f>
        <v>17.939999999999998</v>
      </c>
      <c r="E317" s="450"/>
    </row>
    <row r="318" spans="1:5">
      <c r="A318" s="468"/>
      <c r="B318" s="470" t="s">
        <v>391</v>
      </c>
      <c r="C318" s="488" t="s">
        <v>392</v>
      </c>
      <c r="D318" s="473" t="s">
        <v>393</v>
      </c>
      <c r="E318" s="469"/>
    </row>
    <row r="319" spans="1:5">
      <c r="A319" s="453"/>
      <c r="B319" s="471" t="s">
        <v>658</v>
      </c>
      <c r="C319" s="498" t="s">
        <v>906</v>
      </c>
      <c r="D319" s="474">
        <f>295.65*1.15</f>
        <v>339.99749999999995</v>
      </c>
      <c r="E319" s="449"/>
    </row>
    <row r="320" spans="1:5">
      <c r="A320" s="453"/>
      <c r="B320" s="471" t="s">
        <v>658</v>
      </c>
      <c r="C320" s="498" t="s">
        <v>907</v>
      </c>
      <c r="D320" s="474">
        <f>132.16*1.15</f>
        <v>151.98399999999998</v>
      </c>
      <c r="E320" s="449"/>
    </row>
    <row r="321" spans="1:5">
      <c r="A321" s="453"/>
      <c r="B321" s="471" t="s">
        <v>658</v>
      </c>
      <c r="C321" s="498" t="s">
        <v>908</v>
      </c>
      <c r="D321" s="474">
        <f>52.15*1.15</f>
        <v>59.972499999999997</v>
      </c>
      <c r="E321" s="449"/>
    </row>
    <row r="322" spans="1:5">
      <c r="A322" s="453"/>
      <c r="B322" s="471" t="s">
        <v>662</v>
      </c>
      <c r="C322" s="498" t="s">
        <v>909</v>
      </c>
      <c r="D322" s="474">
        <v>998.00599999999997</v>
      </c>
      <c r="E322" s="449"/>
    </row>
    <row r="323" spans="1:5">
      <c r="A323" s="453"/>
      <c r="B323" s="471" t="s">
        <v>663</v>
      </c>
      <c r="C323" s="498" t="s">
        <v>910</v>
      </c>
      <c r="D323" s="474">
        <v>998.01</v>
      </c>
      <c r="E323" s="449"/>
    </row>
    <row r="324" spans="1:5">
      <c r="A324" s="453"/>
      <c r="B324" s="471" t="s">
        <v>664</v>
      </c>
      <c r="C324" s="498" t="s">
        <v>910</v>
      </c>
      <c r="D324" s="474">
        <v>998.01</v>
      </c>
      <c r="E324" s="449"/>
    </row>
    <row r="325" spans="1:5">
      <c r="A325" s="453"/>
      <c r="B325" s="471" t="s">
        <v>665</v>
      </c>
      <c r="C325" s="498" t="s">
        <v>909</v>
      </c>
      <c r="D325" s="474">
        <v>998.01</v>
      </c>
      <c r="E325" s="449"/>
    </row>
    <row r="326" spans="1:5">
      <c r="A326" s="453"/>
      <c r="B326" s="471" t="s">
        <v>666</v>
      </c>
      <c r="C326" s="498" t="s">
        <v>909</v>
      </c>
      <c r="D326" s="474">
        <v>998.01</v>
      </c>
      <c r="E326" s="449"/>
    </row>
    <row r="327" spans="1:5">
      <c r="A327" s="453"/>
      <c r="B327" s="471" t="s">
        <v>667</v>
      </c>
      <c r="C327" s="498" t="s">
        <v>910</v>
      </c>
      <c r="D327" s="474">
        <v>998.01</v>
      </c>
      <c r="E327" s="449"/>
    </row>
    <row r="328" spans="1:5">
      <c r="A328" s="453"/>
      <c r="B328" s="471" t="s">
        <v>658</v>
      </c>
      <c r="C328" s="498" t="s">
        <v>911</v>
      </c>
      <c r="D328" s="474">
        <f>236.5*1.15</f>
        <v>271.97499999999997</v>
      </c>
      <c r="E328" s="449"/>
    </row>
    <row r="329" spans="1:5">
      <c r="A329" s="453"/>
      <c r="B329" s="471" t="s">
        <v>668</v>
      </c>
      <c r="C329" s="498" t="s">
        <v>912</v>
      </c>
      <c r="D329" s="474">
        <v>356.5</v>
      </c>
      <c r="E329" s="449"/>
    </row>
    <row r="330" spans="1:5">
      <c r="A330" s="453"/>
      <c r="B330" s="471" t="s">
        <v>669</v>
      </c>
      <c r="C330" s="498" t="s">
        <v>912</v>
      </c>
      <c r="D330" s="474">
        <v>356.5</v>
      </c>
      <c r="E330" s="449"/>
    </row>
    <row r="331" spans="1:5">
      <c r="A331" s="453"/>
      <c r="B331" s="471" t="s">
        <v>670</v>
      </c>
      <c r="C331" s="498" t="s">
        <v>912</v>
      </c>
      <c r="D331" s="474">
        <v>356.5</v>
      </c>
      <c r="E331" s="449"/>
    </row>
    <row r="332" spans="1:5">
      <c r="A332" s="453"/>
      <c r="B332" s="471" t="s">
        <v>671</v>
      </c>
      <c r="C332" s="498" t="s">
        <v>912</v>
      </c>
      <c r="D332" s="474">
        <v>356.5</v>
      </c>
      <c r="E332" s="449"/>
    </row>
    <row r="333" spans="1:5">
      <c r="A333" s="453"/>
      <c r="B333" s="471" t="s">
        <v>672</v>
      </c>
      <c r="C333" s="498" t="s">
        <v>912</v>
      </c>
      <c r="D333" s="474">
        <v>356.5</v>
      </c>
      <c r="E333" s="449"/>
    </row>
    <row r="334" spans="1:5">
      <c r="A334" s="453"/>
      <c r="B334" s="471" t="s">
        <v>673</v>
      </c>
      <c r="C334" s="498" t="s">
        <v>913</v>
      </c>
      <c r="D334" s="474">
        <v>4823.76</v>
      </c>
      <c r="E334" s="449"/>
    </row>
    <row r="335" spans="1:5">
      <c r="A335" s="453"/>
      <c r="B335" s="471" t="s">
        <v>674</v>
      </c>
      <c r="C335" s="498" t="s">
        <v>913</v>
      </c>
      <c r="D335" s="474">
        <v>4823.76</v>
      </c>
      <c r="E335" s="449"/>
    </row>
    <row r="336" spans="1:5">
      <c r="A336" s="453"/>
      <c r="B336" s="471" t="s">
        <v>675</v>
      </c>
      <c r="C336" s="498" t="s">
        <v>914</v>
      </c>
      <c r="D336" s="474">
        <v>2484.87</v>
      </c>
      <c r="E336" s="449"/>
    </row>
    <row r="337" spans="1:5">
      <c r="A337" s="453"/>
      <c r="B337" s="471" t="s">
        <v>676</v>
      </c>
      <c r="C337" s="498" t="s">
        <v>915</v>
      </c>
      <c r="D337" s="474">
        <v>5747.18</v>
      </c>
      <c r="E337" s="449"/>
    </row>
    <row r="338" spans="1:5">
      <c r="A338" s="453"/>
      <c r="B338" s="471" t="s">
        <v>677</v>
      </c>
      <c r="C338" s="498" t="s">
        <v>916</v>
      </c>
      <c r="D338" s="474">
        <v>2500</v>
      </c>
      <c r="E338" s="449"/>
    </row>
    <row r="339" spans="1:5">
      <c r="A339" s="453"/>
      <c r="B339" s="471" t="s">
        <v>678</v>
      </c>
      <c r="C339" s="498" t="s">
        <v>917</v>
      </c>
      <c r="D339" s="474">
        <v>2500</v>
      </c>
      <c r="E339" s="449"/>
    </row>
    <row r="340" spans="1:5">
      <c r="A340" s="453"/>
      <c r="B340" s="471" t="s">
        <v>679</v>
      </c>
      <c r="C340" s="498" t="s">
        <v>918</v>
      </c>
      <c r="D340" s="474">
        <v>800</v>
      </c>
      <c r="E340" s="449"/>
    </row>
    <row r="341" spans="1:5">
      <c r="A341" s="453"/>
      <c r="B341" s="471" t="s">
        <v>680</v>
      </c>
      <c r="C341" s="489" t="s">
        <v>919</v>
      </c>
      <c r="D341" s="474">
        <v>800</v>
      </c>
      <c r="E341" s="449"/>
    </row>
    <row r="342" spans="1:5">
      <c r="A342" s="453"/>
      <c r="B342" s="471" t="s">
        <v>681</v>
      </c>
      <c r="C342" s="489" t="s">
        <v>920</v>
      </c>
      <c r="D342" s="474">
        <f>1200*1.15</f>
        <v>1380</v>
      </c>
      <c r="E342" s="449"/>
    </row>
    <row r="343" spans="1:5">
      <c r="A343" s="453"/>
      <c r="B343" s="471" t="s">
        <v>682</v>
      </c>
      <c r="C343" s="489" t="s">
        <v>920</v>
      </c>
      <c r="D343" s="474">
        <f>1200*1.15</f>
        <v>1380</v>
      </c>
      <c r="E343" s="449"/>
    </row>
    <row r="344" spans="1:5">
      <c r="A344" s="453"/>
      <c r="B344" s="471" t="s">
        <v>683</v>
      </c>
      <c r="C344" s="489" t="s">
        <v>920</v>
      </c>
      <c r="D344" s="474">
        <f>1200*1.15</f>
        <v>1380</v>
      </c>
      <c r="E344" s="449"/>
    </row>
    <row r="345" spans="1:5">
      <c r="A345" s="453"/>
      <c r="B345" s="471" t="s">
        <v>684</v>
      </c>
      <c r="C345" s="489" t="s">
        <v>920</v>
      </c>
      <c r="D345" s="474">
        <f>1200*1.15</f>
        <v>1380</v>
      </c>
      <c r="E345" s="449"/>
    </row>
    <row r="346" spans="1:5">
      <c r="A346" s="453"/>
      <c r="B346" s="471" t="s">
        <v>685</v>
      </c>
      <c r="C346" s="489" t="s">
        <v>920</v>
      </c>
      <c r="D346" s="474">
        <f>1200*1.15</f>
        <v>1380</v>
      </c>
      <c r="E346" s="449"/>
    </row>
    <row r="347" spans="1:5">
      <c r="A347" s="453"/>
      <c r="B347" s="471" t="s">
        <v>686</v>
      </c>
      <c r="C347" s="489" t="s">
        <v>920</v>
      </c>
      <c r="D347" s="474">
        <v>1380</v>
      </c>
      <c r="E347" s="449"/>
    </row>
    <row r="348" spans="1:5">
      <c r="A348" s="453"/>
      <c r="B348" s="471" t="s">
        <v>687</v>
      </c>
      <c r="C348" s="489" t="s">
        <v>920</v>
      </c>
      <c r="D348" s="474">
        <v>1380</v>
      </c>
      <c r="E348" s="449"/>
    </row>
    <row r="349" spans="1:5">
      <c r="A349" s="453"/>
      <c r="B349" s="471" t="s">
        <v>688</v>
      </c>
      <c r="C349" s="489" t="s">
        <v>920</v>
      </c>
      <c r="D349" s="474">
        <v>1380</v>
      </c>
      <c r="E349" s="449"/>
    </row>
    <row r="350" spans="1:5">
      <c r="A350" s="453"/>
      <c r="B350" s="471" t="s">
        <v>689</v>
      </c>
      <c r="C350" s="489" t="s">
        <v>920</v>
      </c>
      <c r="D350" s="474">
        <v>1380</v>
      </c>
      <c r="E350" s="449"/>
    </row>
    <row r="351" spans="1:5">
      <c r="A351" s="453"/>
      <c r="B351" s="471" t="s">
        <v>690</v>
      </c>
      <c r="C351" s="489" t="s">
        <v>920</v>
      </c>
      <c r="D351" s="474">
        <v>1380</v>
      </c>
      <c r="E351" s="449"/>
    </row>
    <row r="352" spans="1:5">
      <c r="A352" s="453"/>
      <c r="B352" s="471" t="s">
        <v>691</v>
      </c>
      <c r="C352" s="489" t="s">
        <v>920</v>
      </c>
      <c r="D352" s="474">
        <v>1380</v>
      </c>
      <c r="E352" s="449"/>
    </row>
    <row r="353" spans="1:5">
      <c r="A353" s="453"/>
      <c r="B353" s="471" t="s">
        <v>692</v>
      </c>
      <c r="C353" s="489" t="s">
        <v>920</v>
      </c>
      <c r="D353" s="474">
        <v>1380</v>
      </c>
      <c r="E353" s="449"/>
    </row>
    <row r="354" spans="1:5">
      <c r="A354" s="453"/>
      <c r="B354" s="471" t="s">
        <v>693</v>
      </c>
      <c r="C354" s="489" t="s">
        <v>920</v>
      </c>
      <c r="D354" s="474">
        <v>1380</v>
      </c>
      <c r="E354" s="449"/>
    </row>
    <row r="355" spans="1:5">
      <c r="A355" s="453"/>
      <c r="B355" s="471" t="s">
        <v>694</v>
      </c>
      <c r="C355" s="489" t="s">
        <v>920</v>
      </c>
      <c r="D355" s="474">
        <v>1380</v>
      </c>
      <c r="E355" s="449"/>
    </row>
    <row r="356" spans="1:5">
      <c r="A356" s="453"/>
      <c r="B356" s="471" t="s">
        <v>695</v>
      </c>
      <c r="C356" s="489" t="s">
        <v>920</v>
      </c>
      <c r="D356" s="474">
        <v>1380</v>
      </c>
      <c r="E356" s="449"/>
    </row>
    <row r="357" spans="1:5">
      <c r="A357" s="453"/>
      <c r="B357" s="471" t="s">
        <v>696</v>
      </c>
      <c r="C357" s="489" t="s">
        <v>920</v>
      </c>
      <c r="D357" s="474">
        <v>1380</v>
      </c>
      <c r="E357" s="449"/>
    </row>
    <row r="358" spans="1:5">
      <c r="A358" s="453"/>
      <c r="B358" s="471" t="s">
        <v>697</v>
      </c>
      <c r="C358" s="489" t="s">
        <v>920</v>
      </c>
      <c r="D358" s="474">
        <v>1380</v>
      </c>
      <c r="E358" s="449"/>
    </row>
    <row r="359" spans="1:5">
      <c r="A359" s="453"/>
      <c r="B359" s="471" t="s">
        <v>698</v>
      </c>
      <c r="C359" s="489" t="s">
        <v>920</v>
      </c>
      <c r="D359" s="474">
        <v>1380</v>
      </c>
      <c r="E359" s="449"/>
    </row>
    <row r="360" spans="1:5">
      <c r="A360" s="453"/>
      <c r="B360" s="471" t="s">
        <v>699</v>
      </c>
      <c r="C360" s="489" t="s">
        <v>920</v>
      </c>
      <c r="D360" s="474">
        <v>1380</v>
      </c>
      <c r="E360" s="449"/>
    </row>
    <row r="361" spans="1:5">
      <c r="A361" s="453"/>
      <c r="B361" s="471" t="s">
        <v>700</v>
      </c>
      <c r="C361" s="489" t="s">
        <v>920</v>
      </c>
      <c r="D361" s="474">
        <v>1380</v>
      </c>
      <c r="E361" s="449"/>
    </row>
    <row r="362" spans="1:5">
      <c r="A362" s="453"/>
      <c r="B362" s="471" t="s">
        <v>701</v>
      </c>
      <c r="C362" s="489" t="s">
        <v>920</v>
      </c>
      <c r="D362" s="474">
        <v>1380</v>
      </c>
      <c r="E362" s="449"/>
    </row>
    <row r="363" spans="1:5">
      <c r="A363" s="453"/>
      <c r="B363" s="471" t="s">
        <v>702</v>
      </c>
      <c r="C363" s="489" t="s">
        <v>920</v>
      </c>
      <c r="D363" s="474">
        <v>1380</v>
      </c>
      <c r="E363" s="449"/>
    </row>
    <row r="364" spans="1:5">
      <c r="A364" s="453"/>
      <c r="B364" s="471" t="s">
        <v>703</v>
      </c>
      <c r="C364" s="489" t="s">
        <v>920</v>
      </c>
      <c r="D364" s="474">
        <v>1380</v>
      </c>
      <c r="E364" s="449"/>
    </row>
    <row r="365" spans="1:5">
      <c r="A365" s="453"/>
      <c r="B365" s="471" t="s">
        <v>704</v>
      </c>
      <c r="C365" s="489" t="s">
        <v>920</v>
      </c>
      <c r="D365" s="474">
        <v>1380</v>
      </c>
      <c r="E365" s="449"/>
    </row>
    <row r="366" spans="1:5">
      <c r="A366" s="453"/>
      <c r="B366" s="471" t="s">
        <v>705</v>
      </c>
      <c r="C366" s="489" t="s">
        <v>920</v>
      </c>
      <c r="D366" s="474">
        <v>1380</v>
      </c>
      <c r="E366" s="449"/>
    </row>
    <row r="367" spans="1:5">
      <c r="A367" s="453"/>
      <c r="B367" s="471" t="s">
        <v>706</v>
      </c>
      <c r="C367" s="489" t="s">
        <v>921</v>
      </c>
      <c r="D367" s="474">
        <v>1520</v>
      </c>
      <c r="E367" s="449"/>
    </row>
    <row r="368" spans="1:5">
      <c r="A368" s="453"/>
      <c r="B368" s="471" t="s">
        <v>707</v>
      </c>
      <c r="C368" s="489" t="s">
        <v>921</v>
      </c>
      <c r="D368" s="474">
        <v>1520</v>
      </c>
      <c r="E368" s="449"/>
    </row>
    <row r="369" spans="1:5">
      <c r="A369" s="453"/>
      <c r="B369" s="471" t="s">
        <v>708</v>
      </c>
      <c r="C369" s="489" t="s">
        <v>921</v>
      </c>
      <c r="D369" s="474">
        <v>1520</v>
      </c>
      <c r="E369" s="449"/>
    </row>
    <row r="370" spans="1:5">
      <c r="A370" s="453"/>
      <c r="B370" s="471" t="s">
        <v>709</v>
      </c>
      <c r="C370" s="489" t="s">
        <v>922</v>
      </c>
      <c r="D370" s="474">
        <v>210</v>
      </c>
      <c r="E370" s="449"/>
    </row>
    <row r="371" spans="1:5">
      <c r="A371" s="453"/>
      <c r="B371" s="471" t="s">
        <v>710</v>
      </c>
      <c r="C371" s="489" t="s">
        <v>922</v>
      </c>
      <c r="D371" s="474">
        <v>210</v>
      </c>
      <c r="E371" s="449"/>
    </row>
    <row r="372" spans="1:5">
      <c r="A372" s="454"/>
      <c r="B372" s="472" t="s">
        <v>711</v>
      </c>
      <c r="C372" s="503" t="s">
        <v>922</v>
      </c>
      <c r="D372" s="475">
        <v>210</v>
      </c>
      <c r="E372" s="450"/>
    </row>
    <row r="373" spans="1:5">
      <c r="A373" s="468"/>
      <c r="B373" s="470" t="s">
        <v>391</v>
      </c>
      <c r="C373" s="488" t="s">
        <v>392</v>
      </c>
      <c r="D373" s="473" t="s">
        <v>393</v>
      </c>
      <c r="E373" s="469"/>
    </row>
    <row r="374" spans="1:5">
      <c r="A374" s="453"/>
      <c r="B374" s="471" t="s">
        <v>712</v>
      </c>
      <c r="C374" s="489" t="s">
        <v>923</v>
      </c>
      <c r="D374" s="474">
        <v>130</v>
      </c>
      <c r="E374" s="449"/>
    </row>
    <row r="375" spans="1:5">
      <c r="A375" s="453"/>
      <c r="B375" s="471" t="s">
        <v>713</v>
      </c>
      <c r="C375" s="489" t="s">
        <v>923</v>
      </c>
      <c r="D375" s="474">
        <v>130</v>
      </c>
      <c r="E375" s="449"/>
    </row>
    <row r="376" spans="1:5">
      <c r="A376" s="453"/>
      <c r="B376" s="471" t="s">
        <v>714</v>
      </c>
      <c r="C376" s="489" t="s">
        <v>924</v>
      </c>
      <c r="D376" s="474">
        <f>2160*1.15</f>
        <v>2484</v>
      </c>
      <c r="E376" s="449"/>
    </row>
    <row r="377" spans="1:5" ht="48">
      <c r="A377" s="453"/>
      <c r="B377" s="471" t="s">
        <v>715</v>
      </c>
      <c r="C377" s="489" t="s">
        <v>925</v>
      </c>
      <c r="D377" s="474">
        <f>22000*1.15</f>
        <v>25299.999999999996</v>
      </c>
      <c r="E377" s="449"/>
    </row>
    <row r="378" spans="1:5">
      <c r="A378" s="453"/>
      <c r="B378" s="471" t="s">
        <v>658</v>
      </c>
      <c r="C378" s="489" t="s">
        <v>926</v>
      </c>
      <c r="D378" s="474">
        <f>330*1.15</f>
        <v>379.49999999999994</v>
      </c>
      <c r="E378" s="449"/>
    </row>
    <row r="379" spans="1:5">
      <c r="A379" s="453"/>
      <c r="B379" s="471" t="s">
        <v>716</v>
      </c>
      <c r="C379" s="489" t="s">
        <v>927</v>
      </c>
      <c r="D379" s="474">
        <v>159.85</v>
      </c>
      <c r="E379" s="449"/>
    </row>
    <row r="380" spans="1:5">
      <c r="A380" s="453"/>
      <c r="B380" s="471" t="s">
        <v>717</v>
      </c>
      <c r="C380" s="489" t="s">
        <v>928</v>
      </c>
      <c r="D380" s="474">
        <v>159.85</v>
      </c>
      <c r="E380" s="449"/>
    </row>
    <row r="381" spans="1:5">
      <c r="A381" s="453"/>
      <c r="B381" s="471" t="s">
        <v>718</v>
      </c>
      <c r="C381" s="489" t="s">
        <v>929</v>
      </c>
      <c r="D381" s="474">
        <v>159.85</v>
      </c>
      <c r="E381" s="449"/>
    </row>
    <row r="382" spans="1:5">
      <c r="A382" s="453"/>
      <c r="B382" s="471" t="s">
        <v>719</v>
      </c>
      <c r="C382" s="489" t="s">
        <v>929</v>
      </c>
      <c r="D382" s="474">
        <v>159.85</v>
      </c>
      <c r="E382" s="449"/>
    </row>
    <row r="383" spans="1:5">
      <c r="A383" s="453"/>
      <c r="B383" s="471" t="s">
        <v>720</v>
      </c>
      <c r="C383" s="489" t="s">
        <v>929</v>
      </c>
      <c r="D383" s="474">
        <v>159.85</v>
      </c>
      <c r="E383" s="449"/>
    </row>
    <row r="384" spans="1:5">
      <c r="A384" s="453"/>
      <c r="B384" s="471" t="s">
        <v>721</v>
      </c>
      <c r="C384" s="489" t="s">
        <v>929</v>
      </c>
      <c r="D384" s="474">
        <v>159.85</v>
      </c>
      <c r="E384" s="449"/>
    </row>
    <row r="385" spans="1:5">
      <c r="A385" s="453"/>
      <c r="B385" s="471" t="s">
        <v>722</v>
      </c>
      <c r="C385" s="489" t="s">
        <v>929</v>
      </c>
      <c r="D385" s="474">
        <v>159.85</v>
      </c>
      <c r="E385" s="449"/>
    </row>
    <row r="386" spans="1:5">
      <c r="A386" s="453"/>
      <c r="B386" s="471" t="s">
        <v>723</v>
      </c>
      <c r="C386" s="489" t="s">
        <v>929</v>
      </c>
      <c r="D386" s="474">
        <v>159.85</v>
      </c>
      <c r="E386" s="449"/>
    </row>
    <row r="387" spans="1:5">
      <c r="A387" s="453"/>
      <c r="B387" s="471" t="s">
        <v>724</v>
      </c>
      <c r="C387" s="489" t="s">
        <v>929</v>
      </c>
      <c r="D387" s="474">
        <v>159.85</v>
      </c>
      <c r="E387" s="449"/>
    </row>
    <row r="388" spans="1:5">
      <c r="A388" s="453"/>
      <c r="B388" s="471" t="s">
        <v>725</v>
      </c>
      <c r="C388" s="489" t="s">
        <v>929</v>
      </c>
      <c r="D388" s="474">
        <v>159.85</v>
      </c>
      <c r="E388" s="449"/>
    </row>
    <row r="389" spans="1:5">
      <c r="A389" s="453"/>
      <c r="B389" s="471" t="s">
        <v>726</v>
      </c>
      <c r="C389" s="489" t="s">
        <v>929</v>
      </c>
      <c r="D389" s="474">
        <v>159.85</v>
      </c>
      <c r="E389" s="449"/>
    </row>
    <row r="390" spans="1:5">
      <c r="A390" s="453"/>
      <c r="B390" s="471" t="s">
        <v>727</v>
      </c>
      <c r="C390" s="489" t="s">
        <v>929</v>
      </c>
      <c r="D390" s="474">
        <v>159.85</v>
      </c>
      <c r="E390" s="449"/>
    </row>
    <row r="391" spans="1:5">
      <c r="A391" s="453"/>
      <c r="B391" s="471" t="s">
        <v>728</v>
      </c>
      <c r="C391" s="489" t="s">
        <v>929</v>
      </c>
      <c r="D391" s="474">
        <v>159.85</v>
      </c>
      <c r="E391" s="449"/>
    </row>
    <row r="392" spans="1:5">
      <c r="A392" s="453"/>
      <c r="B392" s="471" t="s">
        <v>729</v>
      </c>
      <c r="C392" s="489" t="s">
        <v>929</v>
      </c>
      <c r="D392" s="474">
        <v>159.85</v>
      </c>
      <c r="E392" s="449"/>
    </row>
    <row r="393" spans="1:5">
      <c r="A393" s="453"/>
      <c r="B393" s="471" t="s">
        <v>730</v>
      </c>
      <c r="C393" s="489" t="s">
        <v>929</v>
      </c>
      <c r="D393" s="474">
        <v>159.85</v>
      </c>
      <c r="E393" s="449"/>
    </row>
    <row r="394" spans="1:5">
      <c r="A394" s="453"/>
      <c r="B394" s="471" t="s">
        <v>731</v>
      </c>
      <c r="C394" s="489" t="s">
        <v>929</v>
      </c>
      <c r="D394" s="474">
        <v>159.85</v>
      </c>
      <c r="E394" s="449"/>
    </row>
    <row r="395" spans="1:5">
      <c r="A395" s="453"/>
      <c r="B395" s="471" t="s">
        <v>732</v>
      </c>
      <c r="C395" s="489" t="s">
        <v>929</v>
      </c>
      <c r="D395" s="474">
        <v>159.85</v>
      </c>
      <c r="E395" s="449"/>
    </row>
    <row r="396" spans="1:5">
      <c r="A396" s="453"/>
      <c r="B396" s="471" t="s">
        <v>733</v>
      </c>
      <c r="C396" s="489" t="s">
        <v>929</v>
      </c>
      <c r="D396" s="474">
        <v>159.85</v>
      </c>
      <c r="E396" s="449"/>
    </row>
    <row r="397" spans="1:5">
      <c r="A397" s="453"/>
      <c r="B397" s="471" t="s">
        <v>734</v>
      </c>
      <c r="C397" s="489" t="s">
        <v>929</v>
      </c>
      <c r="D397" s="474">
        <v>159.85</v>
      </c>
      <c r="E397" s="449"/>
    </row>
    <row r="398" spans="1:5">
      <c r="A398" s="453"/>
      <c r="B398" s="471" t="s">
        <v>735</v>
      </c>
      <c r="C398" s="489" t="s">
        <v>929</v>
      </c>
      <c r="D398" s="474">
        <v>159.85</v>
      </c>
      <c r="E398" s="449"/>
    </row>
    <row r="399" spans="1:5" ht="24">
      <c r="A399" s="453"/>
      <c r="B399" s="471" t="s">
        <v>658</v>
      </c>
      <c r="C399" s="489" t="s">
        <v>930</v>
      </c>
      <c r="D399" s="474">
        <f>284*1.15</f>
        <v>326.59999999999997</v>
      </c>
      <c r="E399" s="449"/>
    </row>
    <row r="400" spans="1:5">
      <c r="A400" s="453"/>
      <c r="B400" s="471" t="s">
        <v>658</v>
      </c>
      <c r="C400" s="489" t="s">
        <v>931</v>
      </c>
      <c r="D400" s="474">
        <f>44*1.15</f>
        <v>50.599999999999994</v>
      </c>
      <c r="E400" s="449"/>
    </row>
    <row r="401" spans="1:5">
      <c r="A401" s="453"/>
      <c r="B401" s="471" t="s">
        <v>658</v>
      </c>
      <c r="C401" s="489" t="s">
        <v>932</v>
      </c>
      <c r="D401" s="474">
        <f>58*1.15</f>
        <v>66.699999999999989</v>
      </c>
      <c r="E401" s="449"/>
    </row>
    <row r="402" spans="1:5">
      <c r="A402" s="453"/>
      <c r="B402" s="471" t="s">
        <v>658</v>
      </c>
      <c r="C402" s="489" t="s">
        <v>933</v>
      </c>
      <c r="D402" s="474">
        <f>48*1.15</f>
        <v>55.199999999999996</v>
      </c>
      <c r="E402" s="449"/>
    </row>
    <row r="403" spans="1:5">
      <c r="A403" s="453"/>
      <c r="B403" s="471" t="s">
        <v>658</v>
      </c>
      <c r="C403" s="489" t="s">
        <v>934</v>
      </c>
      <c r="D403" s="474">
        <f>56*1.15</f>
        <v>64.399999999999991</v>
      </c>
      <c r="E403" s="449"/>
    </row>
    <row r="404" spans="1:5">
      <c r="A404" s="453"/>
      <c r="B404" s="471" t="s">
        <v>658</v>
      </c>
      <c r="C404" s="489" t="s">
        <v>935</v>
      </c>
      <c r="D404" s="474">
        <f>84*1.15</f>
        <v>96.6</v>
      </c>
      <c r="E404" s="449"/>
    </row>
    <row r="405" spans="1:5">
      <c r="A405" s="453"/>
      <c r="B405" s="471" t="s">
        <v>658</v>
      </c>
      <c r="C405" s="489" t="s">
        <v>936</v>
      </c>
      <c r="D405" s="474">
        <f>245*1.15</f>
        <v>281.75</v>
      </c>
      <c r="E405" s="449"/>
    </row>
    <row r="406" spans="1:5">
      <c r="A406" s="453"/>
      <c r="B406" s="471" t="s">
        <v>658</v>
      </c>
      <c r="C406" s="489" t="s">
        <v>937</v>
      </c>
      <c r="D406" s="474">
        <f>94*1.15</f>
        <v>108.1</v>
      </c>
      <c r="E406" s="449"/>
    </row>
    <row r="407" spans="1:5">
      <c r="A407" s="453"/>
      <c r="B407" s="471" t="s">
        <v>658</v>
      </c>
      <c r="C407" s="489" t="s">
        <v>938</v>
      </c>
      <c r="D407" s="474">
        <f>1800*1.15</f>
        <v>2070</v>
      </c>
      <c r="E407" s="449"/>
    </row>
    <row r="408" spans="1:5">
      <c r="A408" s="453"/>
      <c r="B408" s="471" t="s">
        <v>736</v>
      </c>
      <c r="C408" s="489" t="s">
        <v>939</v>
      </c>
      <c r="D408" s="474">
        <v>1322.5</v>
      </c>
      <c r="E408" s="449"/>
    </row>
    <row r="409" spans="1:5">
      <c r="A409" s="453"/>
      <c r="B409" s="471" t="s">
        <v>737</v>
      </c>
      <c r="C409" s="489" t="s">
        <v>939</v>
      </c>
      <c r="D409" s="474">
        <v>1322.5</v>
      </c>
      <c r="E409" s="449"/>
    </row>
    <row r="410" spans="1:5">
      <c r="A410" s="453"/>
      <c r="B410" s="471" t="s">
        <v>738</v>
      </c>
      <c r="C410" s="489" t="s">
        <v>940</v>
      </c>
      <c r="D410" s="474">
        <v>4000</v>
      </c>
      <c r="E410" s="449"/>
    </row>
    <row r="411" spans="1:5">
      <c r="A411" s="453"/>
      <c r="B411" s="471" t="s">
        <v>739</v>
      </c>
      <c r="C411" s="489" t="s">
        <v>941</v>
      </c>
      <c r="D411" s="474">
        <v>1600</v>
      </c>
      <c r="E411" s="449"/>
    </row>
    <row r="412" spans="1:5">
      <c r="A412" s="453"/>
      <c r="B412" s="471" t="s">
        <v>740</v>
      </c>
      <c r="C412" s="489" t="s">
        <v>941</v>
      </c>
      <c r="D412" s="474">
        <v>1600</v>
      </c>
      <c r="E412" s="449"/>
    </row>
    <row r="413" spans="1:5">
      <c r="A413" s="453"/>
      <c r="B413" s="471" t="s">
        <v>741</v>
      </c>
      <c r="C413" s="489" t="s">
        <v>942</v>
      </c>
      <c r="D413" s="474">
        <f>1950*1.15</f>
        <v>2242.5</v>
      </c>
      <c r="E413" s="449"/>
    </row>
    <row r="414" spans="1:5">
      <c r="A414" s="453"/>
      <c r="B414" s="471" t="s">
        <v>658</v>
      </c>
      <c r="C414" s="489" t="s">
        <v>943</v>
      </c>
      <c r="D414" s="474">
        <f>780*1.15</f>
        <v>896.99999999999989</v>
      </c>
      <c r="E414" s="449"/>
    </row>
    <row r="415" spans="1:5">
      <c r="A415" s="453"/>
      <c r="B415" s="471" t="s">
        <v>658</v>
      </c>
      <c r="C415" s="489" t="s">
        <v>944</v>
      </c>
      <c r="D415" s="474">
        <f>5890*1.15</f>
        <v>6773.4999999999991</v>
      </c>
      <c r="E415" s="449"/>
    </row>
    <row r="416" spans="1:5">
      <c r="A416" s="453"/>
      <c r="B416" s="471" t="s">
        <v>658</v>
      </c>
      <c r="C416" s="489" t="s">
        <v>945</v>
      </c>
      <c r="D416" s="474">
        <f>570*1.15</f>
        <v>655.5</v>
      </c>
      <c r="E416" s="449"/>
    </row>
    <row r="417" spans="1:5">
      <c r="A417" s="453"/>
      <c r="B417" s="471" t="s">
        <v>658</v>
      </c>
      <c r="C417" s="489" t="s">
        <v>946</v>
      </c>
      <c r="D417" s="474">
        <f>1950*1.15</f>
        <v>2242.5</v>
      </c>
      <c r="E417" s="449"/>
    </row>
    <row r="418" spans="1:5">
      <c r="A418" s="453"/>
      <c r="B418" s="471" t="s">
        <v>658</v>
      </c>
      <c r="C418" s="489" t="s">
        <v>947</v>
      </c>
      <c r="D418" s="474">
        <f>66.08*1.15</f>
        <v>75.99199999999999</v>
      </c>
      <c r="E418" s="449"/>
    </row>
    <row r="419" spans="1:5">
      <c r="A419" s="453"/>
      <c r="B419" s="471" t="s">
        <v>658</v>
      </c>
      <c r="C419" s="489" t="s">
        <v>948</v>
      </c>
      <c r="D419" s="474">
        <f>34.78*1.15</f>
        <v>39.997</v>
      </c>
      <c r="E419" s="449"/>
    </row>
    <row r="420" spans="1:5">
      <c r="A420" s="453"/>
      <c r="B420" s="471" t="s">
        <v>658</v>
      </c>
      <c r="C420" s="489" t="s">
        <v>949</v>
      </c>
      <c r="D420" s="474">
        <f>45.22*1.15</f>
        <v>52.002999999999993</v>
      </c>
      <c r="E420" s="449"/>
    </row>
    <row r="421" spans="1:5">
      <c r="A421" s="453"/>
      <c r="B421" s="471" t="s">
        <v>658</v>
      </c>
      <c r="C421" s="489" t="s">
        <v>950</v>
      </c>
      <c r="D421" s="474">
        <f>69.56*1.15</f>
        <v>79.994</v>
      </c>
      <c r="E421" s="449"/>
    </row>
    <row r="422" spans="1:5">
      <c r="A422" s="453"/>
      <c r="B422" s="471" t="s">
        <v>658</v>
      </c>
      <c r="C422" s="489" t="s">
        <v>951</v>
      </c>
      <c r="D422" s="474">
        <f>74.44*1.15</f>
        <v>85.605999999999995</v>
      </c>
      <c r="E422" s="449"/>
    </row>
    <row r="423" spans="1:5">
      <c r="A423" s="454"/>
      <c r="B423" s="472" t="s">
        <v>658</v>
      </c>
      <c r="C423" s="503" t="s">
        <v>952</v>
      </c>
      <c r="D423" s="475">
        <f>39*1.15</f>
        <v>44.849999999999994</v>
      </c>
      <c r="E423" s="450"/>
    </row>
    <row r="424" spans="1:5">
      <c r="A424" s="468"/>
      <c r="B424" s="470" t="s">
        <v>391</v>
      </c>
      <c r="C424" s="488" t="s">
        <v>392</v>
      </c>
      <c r="D424" s="473" t="s">
        <v>393</v>
      </c>
      <c r="E424" s="469"/>
    </row>
    <row r="425" spans="1:5">
      <c r="A425" s="453"/>
      <c r="B425" s="471" t="s">
        <v>658</v>
      </c>
      <c r="C425" s="489" t="s">
        <v>953</v>
      </c>
      <c r="D425" s="474">
        <f>39*1.15</f>
        <v>44.849999999999994</v>
      </c>
      <c r="E425" s="449"/>
    </row>
    <row r="426" spans="1:5">
      <c r="A426" s="453"/>
      <c r="B426" s="471" t="s">
        <v>658</v>
      </c>
      <c r="C426" s="489" t="s">
        <v>954</v>
      </c>
      <c r="D426" s="474">
        <f>47.1*1.15</f>
        <v>54.164999999999999</v>
      </c>
      <c r="E426" s="449"/>
    </row>
    <row r="427" spans="1:5">
      <c r="A427" s="453"/>
      <c r="B427" s="471" t="s">
        <v>658</v>
      </c>
      <c r="C427" s="489" t="s">
        <v>955</v>
      </c>
      <c r="D427" s="474">
        <f>109.5*1.15</f>
        <v>125.925</v>
      </c>
      <c r="E427" s="449"/>
    </row>
    <row r="428" spans="1:5">
      <c r="A428" s="453"/>
      <c r="B428" s="471" t="s">
        <v>658</v>
      </c>
      <c r="C428" s="489" t="s">
        <v>956</v>
      </c>
      <c r="D428" s="474">
        <f>173.9*1.15</f>
        <v>199.98499999999999</v>
      </c>
      <c r="E428" s="449"/>
    </row>
    <row r="429" spans="1:5">
      <c r="A429" s="453"/>
      <c r="B429" s="471" t="s">
        <v>658</v>
      </c>
      <c r="C429" s="489" t="s">
        <v>957</v>
      </c>
      <c r="D429" s="474">
        <f>321.74*1.15</f>
        <v>370.00099999999998</v>
      </c>
      <c r="E429" s="449"/>
    </row>
    <row r="430" spans="1:5">
      <c r="A430" s="453"/>
      <c r="B430" s="471" t="s">
        <v>658</v>
      </c>
      <c r="C430" s="489" t="s">
        <v>958</v>
      </c>
      <c r="D430" s="474">
        <f>125.22*1.15</f>
        <v>144.00299999999999</v>
      </c>
      <c r="E430" s="449"/>
    </row>
    <row r="431" spans="1:5">
      <c r="A431" s="453"/>
      <c r="B431" s="471" t="s">
        <v>658</v>
      </c>
      <c r="C431" s="489" t="s">
        <v>959</v>
      </c>
      <c r="D431" s="474">
        <f>413.05*1.15</f>
        <v>475.00749999999999</v>
      </c>
      <c r="E431" s="449"/>
    </row>
    <row r="432" spans="1:5">
      <c r="A432" s="453"/>
      <c r="B432" s="471" t="s">
        <v>658</v>
      </c>
      <c r="C432" s="489" t="s">
        <v>960</v>
      </c>
      <c r="D432" s="474">
        <f>15.6*1.15</f>
        <v>17.939999999999998</v>
      </c>
      <c r="E432" s="449"/>
    </row>
    <row r="433" spans="1:5">
      <c r="A433" s="453"/>
      <c r="B433" s="471" t="s">
        <v>658</v>
      </c>
      <c r="C433" s="489" t="s">
        <v>906</v>
      </c>
      <c r="D433" s="474">
        <f>295.63*1.15</f>
        <v>339.97449999999998</v>
      </c>
      <c r="E433" s="449"/>
    </row>
    <row r="434" spans="1:5">
      <c r="A434" s="453"/>
      <c r="B434" s="471" t="s">
        <v>658</v>
      </c>
      <c r="C434" s="489" t="s">
        <v>961</v>
      </c>
      <c r="D434" s="474">
        <f>132.16*1.15</f>
        <v>151.98399999999998</v>
      </c>
      <c r="E434" s="449"/>
    </row>
    <row r="435" spans="1:5">
      <c r="A435" s="453"/>
      <c r="B435" s="471" t="s">
        <v>658</v>
      </c>
      <c r="C435" s="489" t="s">
        <v>962</v>
      </c>
      <c r="D435" s="474">
        <f>4339.15*1.15</f>
        <v>4990.0224999999991</v>
      </c>
      <c r="E435" s="449"/>
    </row>
    <row r="436" spans="1:5">
      <c r="A436" s="453"/>
      <c r="B436" s="471" t="s">
        <v>658</v>
      </c>
      <c r="C436" s="489" t="s">
        <v>963</v>
      </c>
      <c r="D436" s="474">
        <f>236.52*1.15</f>
        <v>271.99799999999999</v>
      </c>
      <c r="E436" s="449"/>
    </row>
    <row r="437" spans="1:5">
      <c r="A437" s="453"/>
      <c r="B437" s="471" t="s">
        <v>658</v>
      </c>
      <c r="C437" s="489" t="s">
        <v>964</v>
      </c>
      <c r="D437" s="474">
        <f>295.5*1.15</f>
        <v>339.82499999999999</v>
      </c>
      <c r="E437" s="449"/>
    </row>
    <row r="438" spans="1:5">
      <c r="A438" s="453"/>
      <c r="B438" s="471" t="s">
        <v>658</v>
      </c>
      <c r="C438" s="489" t="s">
        <v>965</v>
      </c>
      <c r="D438" s="474">
        <f>73.91*1.15</f>
        <v>84.996499999999983</v>
      </c>
      <c r="E438" s="449"/>
    </row>
    <row r="439" spans="1:5">
      <c r="A439" s="453"/>
      <c r="B439" s="471" t="s">
        <v>658</v>
      </c>
      <c r="C439" s="489" t="s">
        <v>966</v>
      </c>
      <c r="D439" s="474">
        <f>67.83*1.15</f>
        <v>78.004499999999993</v>
      </c>
      <c r="E439" s="449"/>
    </row>
    <row r="440" spans="1:5">
      <c r="A440" s="453"/>
      <c r="B440" s="471" t="s">
        <v>658</v>
      </c>
      <c r="C440" s="489" t="s">
        <v>967</v>
      </c>
      <c r="D440" s="474">
        <f>56.52*1.15</f>
        <v>64.998000000000005</v>
      </c>
      <c r="E440" s="449"/>
    </row>
    <row r="441" spans="1:5">
      <c r="A441" s="453"/>
      <c r="B441" s="471" t="s">
        <v>658</v>
      </c>
      <c r="C441" s="489" t="s">
        <v>968</v>
      </c>
      <c r="D441" s="474">
        <f>311.3*1.15</f>
        <v>357.995</v>
      </c>
      <c r="E441" s="449"/>
    </row>
    <row r="442" spans="1:5">
      <c r="A442" s="453"/>
      <c r="B442" s="471" t="s">
        <v>658</v>
      </c>
      <c r="C442" s="489" t="s">
        <v>969</v>
      </c>
      <c r="D442" s="474">
        <f>229.56*1.15</f>
        <v>263.99399999999997</v>
      </c>
      <c r="E442" s="449"/>
    </row>
    <row r="443" spans="1:5">
      <c r="A443" s="453"/>
      <c r="B443" s="471" t="s">
        <v>658</v>
      </c>
      <c r="C443" s="489" t="s">
        <v>970</v>
      </c>
      <c r="D443" s="474">
        <f>1339.14*1.15</f>
        <v>1540.011</v>
      </c>
      <c r="E443" s="449"/>
    </row>
    <row r="444" spans="1:5">
      <c r="A444" s="453"/>
      <c r="B444" s="471" t="s">
        <v>658</v>
      </c>
      <c r="C444" s="489" t="s">
        <v>971</v>
      </c>
      <c r="D444" s="474">
        <f>730*1.15</f>
        <v>839.49999999999989</v>
      </c>
      <c r="E444" s="449"/>
    </row>
    <row r="445" spans="1:5">
      <c r="A445" s="453"/>
      <c r="B445" s="471" t="s">
        <v>658</v>
      </c>
      <c r="C445" s="489" t="s">
        <v>972</v>
      </c>
      <c r="D445" s="474">
        <f>173.9*1.15</f>
        <v>199.98499999999999</v>
      </c>
      <c r="E445" s="449"/>
    </row>
    <row r="446" spans="1:5">
      <c r="A446" s="453"/>
      <c r="B446" s="471" t="s">
        <v>658</v>
      </c>
      <c r="C446" s="489" t="s">
        <v>973</v>
      </c>
      <c r="D446" s="474">
        <f>348*1.15</f>
        <v>400.2</v>
      </c>
      <c r="E446" s="449"/>
    </row>
    <row r="447" spans="1:5">
      <c r="A447" s="453"/>
      <c r="B447" s="471" t="s">
        <v>658</v>
      </c>
      <c r="C447" s="489" t="s">
        <v>974</v>
      </c>
      <c r="D447" s="474">
        <f>43.5*1.15</f>
        <v>50.024999999999999</v>
      </c>
      <c r="E447" s="449"/>
    </row>
    <row r="448" spans="1:5">
      <c r="A448" s="453"/>
      <c r="B448" s="471" t="s">
        <v>658</v>
      </c>
      <c r="C448" s="489" t="s">
        <v>975</v>
      </c>
      <c r="D448" s="474">
        <f>66.08*1.15</f>
        <v>75.99199999999999</v>
      </c>
      <c r="E448" s="449"/>
    </row>
    <row r="449" spans="1:5">
      <c r="A449" s="453"/>
      <c r="B449" s="471" t="s">
        <v>658</v>
      </c>
      <c r="C449" s="489" t="s">
        <v>976</v>
      </c>
      <c r="D449" s="474">
        <f>339*1.15</f>
        <v>389.84999999999997</v>
      </c>
      <c r="E449" s="449"/>
    </row>
    <row r="450" spans="1:5">
      <c r="A450" s="453"/>
      <c r="B450" s="471" t="s">
        <v>658</v>
      </c>
      <c r="C450" s="489" t="s">
        <v>977</v>
      </c>
      <c r="D450" s="474">
        <f>391.5*1.15</f>
        <v>450.22499999999997</v>
      </c>
      <c r="E450" s="449"/>
    </row>
    <row r="451" spans="1:5">
      <c r="A451" s="453"/>
      <c r="B451" s="471" t="s">
        <v>658</v>
      </c>
      <c r="C451" s="489" t="s">
        <v>978</v>
      </c>
      <c r="D451" s="474">
        <f>151.5*1.15</f>
        <v>174.22499999999999</v>
      </c>
      <c r="E451" s="449"/>
    </row>
    <row r="452" spans="1:5">
      <c r="A452" s="453"/>
      <c r="B452" s="471" t="s">
        <v>658</v>
      </c>
      <c r="C452" s="489" t="s">
        <v>979</v>
      </c>
      <c r="D452" s="474">
        <f>1434.78*1.15</f>
        <v>1649.9969999999998</v>
      </c>
      <c r="E452" s="449"/>
    </row>
    <row r="453" spans="1:5">
      <c r="A453" s="453"/>
      <c r="B453" s="471" t="s">
        <v>658</v>
      </c>
      <c r="C453" s="489" t="s">
        <v>980</v>
      </c>
      <c r="D453" s="474">
        <f>73.05*1.15</f>
        <v>84.007499999999993</v>
      </c>
      <c r="E453" s="449"/>
    </row>
    <row r="454" spans="1:5">
      <c r="A454" s="453"/>
      <c r="B454" s="471" t="s">
        <v>658</v>
      </c>
      <c r="C454" s="489" t="s">
        <v>981</v>
      </c>
      <c r="D454" s="474">
        <f>330.43*1.15</f>
        <v>379.99449999999996</v>
      </c>
      <c r="E454" s="449"/>
    </row>
    <row r="455" spans="1:5">
      <c r="A455" s="453"/>
      <c r="B455" s="471" t="s">
        <v>658</v>
      </c>
      <c r="C455" s="489" t="s">
        <v>982</v>
      </c>
      <c r="D455" s="474">
        <f>988.71*1.15</f>
        <v>1137.0165</v>
      </c>
      <c r="E455" s="449"/>
    </row>
    <row r="456" spans="1:5">
      <c r="A456" s="453"/>
      <c r="B456" s="471" t="s">
        <v>658</v>
      </c>
      <c r="C456" s="489" t="s">
        <v>983</v>
      </c>
      <c r="D456" s="474">
        <f>339.15*1.15</f>
        <v>390.02249999999992</v>
      </c>
      <c r="E456" s="449"/>
    </row>
    <row r="457" spans="1:5">
      <c r="A457" s="453"/>
      <c r="B457" s="471" t="s">
        <v>658</v>
      </c>
      <c r="C457" s="489" t="s">
        <v>984</v>
      </c>
      <c r="D457" s="474">
        <f>189.57*1.15</f>
        <v>218.00549999999998</v>
      </c>
      <c r="E457" s="449"/>
    </row>
    <row r="458" spans="1:5">
      <c r="A458" s="453"/>
      <c r="B458" s="471" t="s">
        <v>658</v>
      </c>
      <c r="C458" s="489" t="s">
        <v>984</v>
      </c>
      <c r="D458" s="474">
        <f>137.39*1.15</f>
        <v>157.99849999999998</v>
      </c>
      <c r="E458" s="449"/>
    </row>
    <row r="459" spans="1:5">
      <c r="A459" s="453"/>
      <c r="B459" s="471" t="s">
        <v>658</v>
      </c>
      <c r="C459" s="489" t="s">
        <v>985</v>
      </c>
      <c r="D459" s="474">
        <f>17.4*1.15</f>
        <v>20.009999999999998</v>
      </c>
      <c r="E459" s="449"/>
    </row>
    <row r="460" spans="1:5">
      <c r="A460" s="453"/>
      <c r="B460" s="471" t="s">
        <v>658</v>
      </c>
      <c r="C460" s="489" t="s">
        <v>986</v>
      </c>
      <c r="D460" s="474">
        <f>113*1.15</f>
        <v>129.94999999999999</v>
      </c>
      <c r="E460" s="449"/>
    </row>
    <row r="461" spans="1:5">
      <c r="A461" s="453"/>
      <c r="B461" s="471" t="s">
        <v>658</v>
      </c>
      <c r="C461" s="489" t="s">
        <v>987</v>
      </c>
      <c r="D461" s="474">
        <f>252*1.15</f>
        <v>289.79999999999995</v>
      </c>
      <c r="E461" s="449"/>
    </row>
    <row r="462" spans="1:5">
      <c r="A462" s="453"/>
      <c r="B462" s="471" t="s">
        <v>658</v>
      </c>
      <c r="C462" s="489" t="s">
        <v>978</v>
      </c>
      <c r="D462" s="474">
        <f>165*1.15</f>
        <v>189.74999999999997</v>
      </c>
      <c r="E462" s="449"/>
    </row>
    <row r="463" spans="1:5">
      <c r="A463" s="453"/>
      <c r="B463" s="471" t="s">
        <v>658</v>
      </c>
      <c r="C463" s="489" t="s">
        <v>884</v>
      </c>
      <c r="D463" s="474">
        <f>282.6*1.15</f>
        <v>324.99</v>
      </c>
      <c r="E463" s="449"/>
    </row>
    <row r="464" spans="1:5">
      <c r="A464" s="453"/>
      <c r="B464" s="471" t="s">
        <v>658</v>
      </c>
      <c r="C464" s="489" t="s">
        <v>988</v>
      </c>
      <c r="D464" s="474">
        <f>95.66*1.15</f>
        <v>110.00899999999999</v>
      </c>
      <c r="E464" s="449"/>
    </row>
    <row r="465" spans="1:5">
      <c r="A465" s="453"/>
      <c r="B465" s="471" t="s">
        <v>658</v>
      </c>
      <c r="C465" s="489" t="s">
        <v>989</v>
      </c>
      <c r="D465" s="474">
        <f>78.26*1.15</f>
        <v>89.998999999999995</v>
      </c>
      <c r="E465" s="449"/>
    </row>
    <row r="466" spans="1:5">
      <c r="A466" s="453"/>
      <c r="B466" s="471" t="s">
        <v>742</v>
      </c>
      <c r="C466" s="498" t="s">
        <v>990</v>
      </c>
      <c r="D466" s="474">
        <v>53490</v>
      </c>
      <c r="E466" s="449"/>
    </row>
    <row r="467" spans="1:5">
      <c r="A467" s="453"/>
      <c r="B467" s="471" t="s">
        <v>743</v>
      </c>
      <c r="C467" s="498" t="s">
        <v>991</v>
      </c>
      <c r="D467" s="474">
        <f>1323*1.16</f>
        <v>1534.6799999999998</v>
      </c>
      <c r="E467" s="449"/>
    </row>
    <row r="468" spans="1:5">
      <c r="A468" s="453"/>
      <c r="B468" s="471" t="s">
        <v>744</v>
      </c>
      <c r="C468" s="498" t="s">
        <v>992</v>
      </c>
      <c r="D468" s="474">
        <f>790.21*1.16</f>
        <v>916.64359999999999</v>
      </c>
      <c r="E468" s="449"/>
    </row>
    <row r="469" spans="1:5">
      <c r="A469" s="453"/>
      <c r="B469" s="471" t="s">
        <v>745</v>
      </c>
      <c r="C469" s="498" t="s">
        <v>993</v>
      </c>
      <c r="D469" s="474">
        <v>7300</v>
      </c>
      <c r="E469" s="449"/>
    </row>
    <row r="470" spans="1:5">
      <c r="A470" s="453"/>
      <c r="B470" s="471" t="s">
        <v>746</v>
      </c>
      <c r="C470" s="498" t="s">
        <v>994</v>
      </c>
      <c r="D470" s="474">
        <v>108000</v>
      </c>
      <c r="E470" s="449"/>
    </row>
    <row r="471" spans="1:5">
      <c r="A471" s="453"/>
      <c r="B471" s="471" t="s">
        <v>747</v>
      </c>
      <c r="C471" s="498" t="s">
        <v>995</v>
      </c>
      <c r="D471" s="474">
        <v>2875</v>
      </c>
      <c r="E471" s="449"/>
    </row>
    <row r="472" spans="1:5">
      <c r="A472" s="453"/>
      <c r="B472" s="471" t="s">
        <v>748</v>
      </c>
      <c r="C472" s="498" t="s">
        <v>996</v>
      </c>
      <c r="D472" s="474">
        <v>1955</v>
      </c>
      <c r="E472" s="449"/>
    </row>
    <row r="473" spans="1:5">
      <c r="A473" s="453"/>
      <c r="B473" s="471" t="s">
        <v>749</v>
      </c>
      <c r="C473" s="498" t="s">
        <v>997</v>
      </c>
      <c r="D473" s="474">
        <v>1265</v>
      </c>
      <c r="E473" s="449"/>
    </row>
    <row r="474" spans="1:5">
      <c r="A474" s="453"/>
      <c r="B474" s="471" t="s">
        <v>750</v>
      </c>
      <c r="C474" s="489" t="s">
        <v>998</v>
      </c>
      <c r="D474" s="474">
        <v>29734.400000000001</v>
      </c>
      <c r="E474" s="449"/>
    </row>
    <row r="475" spans="1:5">
      <c r="A475" s="453"/>
      <c r="B475" s="471" t="s">
        <v>751</v>
      </c>
      <c r="C475" s="489" t="s">
        <v>999</v>
      </c>
      <c r="D475" s="474">
        <f>2874*1.15</f>
        <v>3305.1</v>
      </c>
      <c r="E475" s="449"/>
    </row>
    <row r="476" spans="1:5">
      <c r="A476" s="453"/>
      <c r="B476" s="471" t="s">
        <v>752</v>
      </c>
      <c r="C476" s="489" t="s">
        <v>1000</v>
      </c>
      <c r="D476" s="474">
        <v>447.35</v>
      </c>
      <c r="E476" s="449"/>
    </row>
    <row r="477" spans="1:5">
      <c r="A477" s="453"/>
      <c r="B477" s="471" t="s">
        <v>753</v>
      </c>
      <c r="C477" s="489" t="s">
        <v>1000</v>
      </c>
      <c r="D477" s="474">
        <v>447.35</v>
      </c>
      <c r="E477" s="449"/>
    </row>
    <row r="478" spans="1:5">
      <c r="A478" s="454"/>
      <c r="B478" s="472" t="s">
        <v>754</v>
      </c>
      <c r="C478" s="503" t="s">
        <v>1000</v>
      </c>
      <c r="D478" s="475">
        <v>447.35</v>
      </c>
      <c r="E478" s="450"/>
    </row>
    <row r="479" spans="1:5">
      <c r="A479" s="468"/>
      <c r="B479" s="470" t="s">
        <v>391</v>
      </c>
      <c r="C479" s="488" t="s">
        <v>392</v>
      </c>
      <c r="D479" s="473" t="s">
        <v>393</v>
      </c>
      <c r="E479" s="469"/>
    </row>
    <row r="480" spans="1:5">
      <c r="A480" s="453"/>
      <c r="B480" s="471" t="s">
        <v>755</v>
      </c>
      <c r="C480" s="489" t="s">
        <v>1000</v>
      </c>
      <c r="D480" s="474">
        <v>447.35</v>
      </c>
      <c r="E480" s="449"/>
    </row>
    <row r="481" spans="1:5">
      <c r="A481" s="453"/>
      <c r="B481" s="471" t="s">
        <v>756</v>
      </c>
      <c r="C481" s="489" t="s">
        <v>1000</v>
      </c>
      <c r="D481" s="474">
        <v>447.35</v>
      </c>
      <c r="E481" s="449"/>
    </row>
    <row r="482" spans="1:5">
      <c r="A482" s="453"/>
      <c r="B482" s="471" t="s">
        <v>757</v>
      </c>
      <c r="C482" s="489" t="s">
        <v>1000</v>
      </c>
      <c r="D482" s="474">
        <v>447.35</v>
      </c>
      <c r="E482" s="449"/>
    </row>
    <row r="483" spans="1:5">
      <c r="A483" s="453"/>
      <c r="B483" s="471" t="s">
        <v>758</v>
      </c>
      <c r="C483" s="489" t="s">
        <v>1000</v>
      </c>
      <c r="D483" s="474">
        <v>447.35</v>
      </c>
      <c r="E483" s="449"/>
    </row>
    <row r="484" spans="1:5">
      <c r="A484" s="453"/>
      <c r="B484" s="471" t="s">
        <v>658</v>
      </c>
      <c r="C484" s="489" t="s">
        <v>1001</v>
      </c>
      <c r="D484" s="474">
        <f>2720*1.15</f>
        <v>3127.9999999999995</v>
      </c>
      <c r="E484" s="449"/>
    </row>
    <row r="485" spans="1:5">
      <c r="A485" s="453"/>
      <c r="B485" s="471" t="s">
        <v>658</v>
      </c>
      <c r="C485" s="489" t="s">
        <v>1002</v>
      </c>
      <c r="D485" s="474">
        <f>1520*1.15</f>
        <v>1747.9999999999998</v>
      </c>
      <c r="E485" s="449"/>
    </row>
    <row r="486" spans="1:5">
      <c r="A486" s="453"/>
      <c r="B486" s="471" t="s">
        <v>658</v>
      </c>
      <c r="C486" s="489" t="s">
        <v>1003</v>
      </c>
      <c r="D486" s="474">
        <f>1075*1.15</f>
        <v>1236.25</v>
      </c>
      <c r="E486" s="449"/>
    </row>
    <row r="487" spans="1:5">
      <c r="A487" s="453"/>
      <c r="B487" s="471" t="s">
        <v>658</v>
      </c>
      <c r="C487" s="489" t="s">
        <v>1004</v>
      </c>
      <c r="D487" s="474">
        <f>650*1.15</f>
        <v>747.49999999999989</v>
      </c>
      <c r="E487" s="449"/>
    </row>
    <row r="488" spans="1:5" ht="24">
      <c r="A488" s="453"/>
      <c r="B488" s="471" t="s">
        <v>658</v>
      </c>
      <c r="C488" s="489" t="s">
        <v>1005</v>
      </c>
      <c r="D488" s="474">
        <f>850*1.15</f>
        <v>977.49999999999989</v>
      </c>
      <c r="E488" s="449"/>
    </row>
    <row r="489" spans="1:5">
      <c r="A489" s="453"/>
      <c r="B489" s="471" t="s">
        <v>658</v>
      </c>
      <c r="C489" s="489" t="s">
        <v>1006</v>
      </c>
      <c r="D489" s="474">
        <f>8600*1.15</f>
        <v>9890</v>
      </c>
      <c r="E489" s="449"/>
    </row>
    <row r="490" spans="1:5">
      <c r="A490" s="453"/>
      <c r="B490" s="460"/>
      <c r="C490" s="490"/>
      <c r="D490" s="493"/>
      <c r="E490" s="449"/>
    </row>
    <row r="491" spans="1:5">
      <c r="A491" s="453"/>
      <c r="B491" s="449"/>
      <c r="C491" s="491"/>
      <c r="D491" s="494"/>
      <c r="E491" s="449"/>
    </row>
    <row r="492" spans="1:5">
      <c r="A492" s="453"/>
      <c r="B492" s="449"/>
      <c r="C492" s="491"/>
      <c r="D492" s="453"/>
      <c r="E492" s="449"/>
    </row>
    <row r="493" spans="1:5">
      <c r="A493" s="453"/>
      <c r="B493" s="449"/>
      <c r="C493" s="491"/>
      <c r="D493" s="453"/>
      <c r="E493" s="449"/>
    </row>
    <row r="494" spans="1:5">
      <c r="A494" s="453"/>
      <c r="B494" s="449"/>
      <c r="C494" s="491"/>
      <c r="D494" s="453"/>
      <c r="E494" s="449"/>
    </row>
    <row r="495" spans="1:5">
      <c r="A495" s="453"/>
      <c r="B495" s="449"/>
      <c r="C495" s="491"/>
      <c r="D495" s="453"/>
      <c r="E495" s="449"/>
    </row>
    <row r="496" spans="1:5">
      <c r="A496" s="453"/>
      <c r="B496" s="449"/>
      <c r="C496" s="491"/>
      <c r="D496" s="453"/>
      <c r="E496" s="449"/>
    </row>
    <row r="497" spans="1:5">
      <c r="A497" s="453"/>
      <c r="B497" s="449"/>
      <c r="C497" s="491"/>
      <c r="D497" s="453"/>
      <c r="E497" s="449"/>
    </row>
    <row r="498" spans="1:5">
      <c r="A498" s="453"/>
      <c r="B498" s="449"/>
      <c r="C498" s="491"/>
      <c r="D498" s="453"/>
      <c r="E498" s="449"/>
    </row>
    <row r="499" spans="1:5">
      <c r="A499" s="453"/>
      <c r="B499" s="449"/>
      <c r="C499" s="491"/>
      <c r="D499" s="453"/>
      <c r="E499" s="449"/>
    </row>
    <row r="500" spans="1:5">
      <c r="A500" s="453"/>
      <c r="B500" s="449"/>
      <c r="C500" s="491"/>
      <c r="D500" s="453"/>
      <c r="E500" s="449"/>
    </row>
    <row r="501" spans="1:5">
      <c r="A501" s="453"/>
      <c r="B501" s="449"/>
      <c r="C501" s="491"/>
      <c r="D501" s="453"/>
      <c r="E501" s="449"/>
    </row>
    <row r="502" spans="1:5">
      <c r="A502" s="453"/>
      <c r="B502" s="449"/>
      <c r="C502" s="491"/>
      <c r="D502" s="453"/>
      <c r="E502" s="449"/>
    </row>
    <row r="503" spans="1:5">
      <c r="A503" s="453"/>
      <c r="B503" s="449"/>
      <c r="C503" s="491"/>
      <c r="D503" s="453"/>
      <c r="E503" s="449"/>
    </row>
    <row r="504" spans="1:5">
      <c r="A504" s="453"/>
      <c r="B504" s="449"/>
      <c r="C504" s="491"/>
      <c r="D504" s="453"/>
      <c r="E504" s="449"/>
    </row>
    <row r="505" spans="1:5">
      <c r="A505" s="453"/>
      <c r="B505" s="449"/>
      <c r="C505" s="491"/>
      <c r="D505" s="453"/>
      <c r="E505" s="449"/>
    </row>
    <row r="506" spans="1:5">
      <c r="A506" s="453"/>
      <c r="B506" s="449"/>
      <c r="C506" s="491"/>
      <c r="D506" s="453"/>
      <c r="E506" s="449"/>
    </row>
    <row r="507" spans="1:5">
      <c r="A507" s="453"/>
      <c r="B507" s="449"/>
      <c r="C507" s="491"/>
      <c r="D507" s="453"/>
      <c r="E507" s="449"/>
    </row>
    <row r="508" spans="1:5">
      <c r="A508" s="453"/>
      <c r="B508" s="449"/>
      <c r="C508" s="491"/>
      <c r="D508" s="453"/>
      <c r="E508" s="449"/>
    </row>
    <row r="509" spans="1:5">
      <c r="A509" s="453"/>
      <c r="B509" s="449"/>
      <c r="C509" s="491"/>
      <c r="D509" s="453"/>
      <c r="E509" s="449"/>
    </row>
    <row r="510" spans="1:5">
      <c r="A510" s="453"/>
      <c r="B510" s="449"/>
      <c r="C510" s="491"/>
      <c r="D510" s="453"/>
      <c r="E510" s="449"/>
    </row>
    <row r="511" spans="1:5">
      <c r="A511" s="453"/>
      <c r="B511" s="449"/>
      <c r="C511" s="491"/>
      <c r="D511" s="453"/>
      <c r="E511" s="449"/>
    </row>
    <row r="512" spans="1:5">
      <c r="A512" s="453"/>
      <c r="B512" s="449"/>
      <c r="C512" s="491"/>
      <c r="D512" s="453"/>
      <c r="E512" s="449"/>
    </row>
    <row r="513" spans="1:5">
      <c r="A513" s="453"/>
      <c r="B513" s="449"/>
      <c r="C513" s="491"/>
      <c r="D513" s="453"/>
      <c r="E513" s="449"/>
    </row>
    <row r="514" spans="1:5">
      <c r="A514" s="453"/>
      <c r="B514" s="449"/>
      <c r="C514" s="491"/>
      <c r="D514" s="453"/>
      <c r="E514" s="449"/>
    </row>
    <row r="515" spans="1:5">
      <c r="A515" s="453"/>
      <c r="B515" s="449"/>
      <c r="C515" s="491"/>
      <c r="D515" s="453"/>
      <c r="E515" s="449"/>
    </row>
    <row r="516" spans="1:5">
      <c r="A516" s="453"/>
      <c r="B516" s="449"/>
      <c r="C516" s="491"/>
      <c r="D516" s="453"/>
      <c r="E516" s="449"/>
    </row>
    <row r="517" spans="1:5">
      <c r="A517" s="453"/>
      <c r="B517" s="449"/>
      <c r="C517" s="491"/>
      <c r="D517" s="453"/>
      <c r="E517" s="449"/>
    </row>
    <row r="518" spans="1:5">
      <c r="A518" s="453"/>
      <c r="B518" s="449"/>
      <c r="C518" s="491"/>
      <c r="D518" s="453"/>
      <c r="E518" s="449"/>
    </row>
    <row r="519" spans="1:5">
      <c r="A519" s="453"/>
      <c r="B519" s="449"/>
      <c r="C519" s="491"/>
      <c r="D519" s="453"/>
      <c r="E519" s="449"/>
    </row>
    <row r="520" spans="1:5">
      <c r="A520" s="453"/>
      <c r="B520" s="449"/>
      <c r="C520" s="491"/>
      <c r="D520" s="453"/>
      <c r="E520" s="449"/>
    </row>
    <row r="521" spans="1:5">
      <c r="A521" s="453"/>
      <c r="B521" s="449"/>
      <c r="C521" s="491"/>
      <c r="D521" s="453"/>
      <c r="E521" s="449"/>
    </row>
    <row r="522" spans="1:5">
      <c r="A522" s="453"/>
      <c r="B522" s="449"/>
      <c r="C522" s="491"/>
      <c r="D522" s="453"/>
      <c r="E522" s="449"/>
    </row>
    <row r="523" spans="1:5">
      <c r="A523" s="453"/>
      <c r="B523" s="449"/>
      <c r="C523" s="491"/>
      <c r="D523" s="453"/>
      <c r="E523" s="449"/>
    </row>
    <row r="524" spans="1:5">
      <c r="A524" s="453"/>
      <c r="B524" s="449"/>
      <c r="C524" s="491"/>
      <c r="D524" s="453"/>
      <c r="E524" s="449"/>
    </row>
    <row r="525" spans="1:5">
      <c r="A525" s="453"/>
      <c r="B525" s="449"/>
      <c r="C525" s="491"/>
      <c r="D525" s="453"/>
      <c r="E525" s="449"/>
    </row>
    <row r="526" spans="1:5">
      <c r="A526" s="453"/>
      <c r="B526" s="449"/>
      <c r="C526" s="491"/>
      <c r="D526" s="453"/>
      <c r="E526" s="449"/>
    </row>
    <row r="527" spans="1:5">
      <c r="A527" s="453"/>
      <c r="B527" s="449"/>
      <c r="C527" s="491"/>
      <c r="D527" s="453"/>
      <c r="E527" s="449"/>
    </row>
    <row r="528" spans="1:5">
      <c r="A528" s="453"/>
      <c r="B528" s="449"/>
      <c r="C528" s="491"/>
      <c r="D528" s="453"/>
      <c r="E528" s="449"/>
    </row>
    <row r="529" spans="1:5">
      <c r="A529" s="453"/>
      <c r="B529" s="449"/>
      <c r="C529" s="491"/>
      <c r="D529" s="453"/>
      <c r="E529" s="449"/>
    </row>
    <row r="530" spans="1:5">
      <c r="A530" s="453"/>
      <c r="B530" s="449"/>
      <c r="C530" s="491"/>
      <c r="D530" s="453"/>
      <c r="E530" s="449"/>
    </row>
    <row r="531" spans="1:5">
      <c r="A531" s="453"/>
      <c r="B531" s="449"/>
      <c r="C531" s="491"/>
      <c r="D531" s="453"/>
      <c r="E531" s="449"/>
    </row>
    <row r="532" spans="1:5">
      <c r="A532" s="454"/>
      <c r="B532" s="450"/>
      <c r="C532" s="492"/>
      <c r="D532" s="454"/>
      <c r="E532" s="450"/>
    </row>
  </sheetData>
  <mergeCells count="5"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activeCell="C25" sqref="C25"/>
    </sheetView>
  </sheetViews>
  <sheetFormatPr baseColWidth="10" defaultRowHeight="12"/>
  <cols>
    <col min="1" max="1" width="4.85546875" style="184" customWidth="1"/>
    <col min="2" max="2" width="30.85546875" style="184" customWidth="1"/>
    <col min="3" max="3" width="84.42578125" style="184" customWidth="1"/>
    <col min="4" max="4" width="31.7109375" style="184" customWidth="1"/>
    <col min="5" max="5" width="4.85546875" style="184" customWidth="1"/>
    <col min="6" max="6" width="4.42578125" style="184" customWidth="1"/>
    <col min="7" max="256" width="11.42578125" style="184"/>
    <col min="257" max="257" width="4.85546875" style="184" customWidth="1"/>
    <col min="258" max="258" width="30.85546875" style="184" customWidth="1"/>
    <col min="259" max="259" width="84.42578125" style="184" customWidth="1"/>
    <col min="260" max="260" width="42.7109375" style="184" customWidth="1"/>
    <col min="261" max="261" width="4.85546875" style="184" customWidth="1"/>
    <col min="262" max="512" width="11.42578125" style="184"/>
    <col min="513" max="513" width="4.85546875" style="184" customWidth="1"/>
    <col min="514" max="514" width="30.85546875" style="184" customWidth="1"/>
    <col min="515" max="515" width="84.42578125" style="184" customWidth="1"/>
    <col min="516" max="516" width="42.7109375" style="184" customWidth="1"/>
    <col min="517" max="517" width="4.85546875" style="184" customWidth="1"/>
    <col min="518" max="768" width="11.42578125" style="184"/>
    <col min="769" max="769" width="4.85546875" style="184" customWidth="1"/>
    <col min="770" max="770" width="30.85546875" style="184" customWidth="1"/>
    <col min="771" max="771" width="84.42578125" style="184" customWidth="1"/>
    <col min="772" max="772" width="42.7109375" style="184" customWidth="1"/>
    <col min="773" max="773" width="4.85546875" style="184" customWidth="1"/>
    <col min="774" max="1024" width="11.42578125" style="184"/>
    <col min="1025" max="1025" width="4.85546875" style="184" customWidth="1"/>
    <col min="1026" max="1026" width="30.85546875" style="184" customWidth="1"/>
    <col min="1027" max="1027" width="84.42578125" style="184" customWidth="1"/>
    <col min="1028" max="1028" width="42.7109375" style="184" customWidth="1"/>
    <col min="1029" max="1029" width="4.85546875" style="184" customWidth="1"/>
    <col min="1030" max="1280" width="11.42578125" style="184"/>
    <col min="1281" max="1281" width="4.85546875" style="184" customWidth="1"/>
    <col min="1282" max="1282" width="30.85546875" style="184" customWidth="1"/>
    <col min="1283" max="1283" width="84.42578125" style="184" customWidth="1"/>
    <col min="1284" max="1284" width="42.7109375" style="184" customWidth="1"/>
    <col min="1285" max="1285" width="4.85546875" style="184" customWidth="1"/>
    <col min="1286" max="1536" width="11.42578125" style="184"/>
    <col min="1537" max="1537" width="4.85546875" style="184" customWidth="1"/>
    <col min="1538" max="1538" width="30.85546875" style="184" customWidth="1"/>
    <col min="1539" max="1539" width="84.42578125" style="184" customWidth="1"/>
    <col min="1540" max="1540" width="42.7109375" style="184" customWidth="1"/>
    <col min="1541" max="1541" width="4.85546875" style="184" customWidth="1"/>
    <col min="1542" max="1792" width="11.42578125" style="184"/>
    <col min="1793" max="1793" width="4.85546875" style="184" customWidth="1"/>
    <col min="1794" max="1794" width="30.85546875" style="184" customWidth="1"/>
    <col min="1795" max="1795" width="84.42578125" style="184" customWidth="1"/>
    <col min="1796" max="1796" width="42.7109375" style="184" customWidth="1"/>
    <col min="1797" max="1797" width="4.85546875" style="184" customWidth="1"/>
    <col min="1798" max="2048" width="11.42578125" style="184"/>
    <col min="2049" max="2049" width="4.85546875" style="184" customWidth="1"/>
    <col min="2050" max="2050" width="30.85546875" style="184" customWidth="1"/>
    <col min="2051" max="2051" width="84.42578125" style="184" customWidth="1"/>
    <col min="2052" max="2052" width="42.7109375" style="184" customWidth="1"/>
    <col min="2053" max="2053" width="4.85546875" style="184" customWidth="1"/>
    <col min="2054" max="2304" width="11.42578125" style="184"/>
    <col min="2305" max="2305" width="4.85546875" style="184" customWidth="1"/>
    <col min="2306" max="2306" width="30.85546875" style="184" customWidth="1"/>
    <col min="2307" max="2307" width="84.42578125" style="184" customWidth="1"/>
    <col min="2308" max="2308" width="42.7109375" style="184" customWidth="1"/>
    <col min="2309" max="2309" width="4.85546875" style="184" customWidth="1"/>
    <col min="2310" max="2560" width="11.42578125" style="184"/>
    <col min="2561" max="2561" width="4.85546875" style="184" customWidth="1"/>
    <col min="2562" max="2562" width="30.85546875" style="184" customWidth="1"/>
    <col min="2563" max="2563" width="84.42578125" style="184" customWidth="1"/>
    <col min="2564" max="2564" width="42.7109375" style="184" customWidth="1"/>
    <col min="2565" max="2565" width="4.85546875" style="184" customWidth="1"/>
    <col min="2566" max="2816" width="11.42578125" style="184"/>
    <col min="2817" max="2817" width="4.85546875" style="184" customWidth="1"/>
    <col min="2818" max="2818" width="30.85546875" style="184" customWidth="1"/>
    <col min="2819" max="2819" width="84.42578125" style="184" customWidth="1"/>
    <col min="2820" max="2820" width="42.7109375" style="184" customWidth="1"/>
    <col min="2821" max="2821" width="4.85546875" style="184" customWidth="1"/>
    <col min="2822" max="3072" width="11.42578125" style="184"/>
    <col min="3073" max="3073" width="4.85546875" style="184" customWidth="1"/>
    <col min="3074" max="3074" width="30.85546875" style="184" customWidth="1"/>
    <col min="3075" max="3075" width="84.42578125" style="184" customWidth="1"/>
    <col min="3076" max="3076" width="42.7109375" style="184" customWidth="1"/>
    <col min="3077" max="3077" width="4.85546875" style="184" customWidth="1"/>
    <col min="3078" max="3328" width="11.42578125" style="184"/>
    <col min="3329" max="3329" width="4.85546875" style="184" customWidth="1"/>
    <col min="3330" max="3330" width="30.85546875" style="184" customWidth="1"/>
    <col min="3331" max="3331" width="84.42578125" style="184" customWidth="1"/>
    <col min="3332" max="3332" width="42.7109375" style="184" customWidth="1"/>
    <col min="3333" max="3333" width="4.85546875" style="184" customWidth="1"/>
    <col min="3334" max="3584" width="11.42578125" style="184"/>
    <col min="3585" max="3585" width="4.85546875" style="184" customWidth="1"/>
    <col min="3586" max="3586" width="30.85546875" style="184" customWidth="1"/>
    <col min="3587" max="3587" width="84.42578125" style="184" customWidth="1"/>
    <col min="3588" max="3588" width="42.7109375" style="184" customWidth="1"/>
    <col min="3589" max="3589" width="4.85546875" style="184" customWidth="1"/>
    <col min="3590" max="3840" width="11.42578125" style="184"/>
    <col min="3841" max="3841" width="4.85546875" style="184" customWidth="1"/>
    <col min="3842" max="3842" width="30.85546875" style="184" customWidth="1"/>
    <col min="3843" max="3843" width="84.42578125" style="184" customWidth="1"/>
    <col min="3844" max="3844" width="42.7109375" style="184" customWidth="1"/>
    <col min="3845" max="3845" width="4.85546875" style="184" customWidth="1"/>
    <col min="3846" max="4096" width="11.42578125" style="184"/>
    <col min="4097" max="4097" width="4.85546875" style="184" customWidth="1"/>
    <col min="4098" max="4098" width="30.85546875" style="184" customWidth="1"/>
    <col min="4099" max="4099" width="84.42578125" style="184" customWidth="1"/>
    <col min="4100" max="4100" width="42.7109375" style="184" customWidth="1"/>
    <col min="4101" max="4101" width="4.85546875" style="184" customWidth="1"/>
    <col min="4102" max="4352" width="11.42578125" style="184"/>
    <col min="4353" max="4353" width="4.85546875" style="184" customWidth="1"/>
    <col min="4354" max="4354" width="30.85546875" style="184" customWidth="1"/>
    <col min="4355" max="4355" width="84.42578125" style="184" customWidth="1"/>
    <col min="4356" max="4356" width="42.7109375" style="184" customWidth="1"/>
    <col min="4357" max="4357" width="4.85546875" style="184" customWidth="1"/>
    <col min="4358" max="4608" width="11.42578125" style="184"/>
    <col min="4609" max="4609" width="4.85546875" style="184" customWidth="1"/>
    <col min="4610" max="4610" width="30.85546875" style="184" customWidth="1"/>
    <col min="4611" max="4611" width="84.42578125" style="184" customWidth="1"/>
    <col min="4612" max="4612" width="42.7109375" style="184" customWidth="1"/>
    <col min="4613" max="4613" width="4.85546875" style="184" customWidth="1"/>
    <col min="4614" max="4864" width="11.42578125" style="184"/>
    <col min="4865" max="4865" width="4.85546875" style="184" customWidth="1"/>
    <col min="4866" max="4866" width="30.85546875" style="184" customWidth="1"/>
    <col min="4867" max="4867" width="84.42578125" style="184" customWidth="1"/>
    <col min="4868" max="4868" width="42.7109375" style="184" customWidth="1"/>
    <col min="4869" max="4869" width="4.85546875" style="184" customWidth="1"/>
    <col min="4870" max="5120" width="11.42578125" style="184"/>
    <col min="5121" max="5121" width="4.85546875" style="184" customWidth="1"/>
    <col min="5122" max="5122" width="30.85546875" style="184" customWidth="1"/>
    <col min="5123" max="5123" width="84.42578125" style="184" customWidth="1"/>
    <col min="5124" max="5124" width="42.7109375" style="184" customWidth="1"/>
    <col min="5125" max="5125" width="4.85546875" style="184" customWidth="1"/>
    <col min="5126" max="5376" width="11.42578125" style="184"/>
    <col min="5377" max="5377" width="4.85546875" style="184" customWidth="1"/>
    <col min="5378" max="5378" width="30.85546875" style="184" customWidth="1"/>
    <col min="5379" max="5379" width="84.42578125" style="184" customWidth="1"/>
    <col min="5380" max="5380" width="42.7109375" style="184" customWidth="1"/>
    <col min="5381" max="5381" width="4.85546875" style="184" customWidth="1"/>
    <col min="5382" max="5632" width="11.42578125" style="184"/>
    <col min="5633" max="5633" width="4.85546875" style="184" customWidth="1"/>
    <col min="5634" max="5634" width="30.85546875" style="184" customWidth="1"/>
    <col min="5635" max="5635" width="84.42578125" style="184" customWidth="1"/>
    <col min="5636" max="5636" width="42.7109375" style="184" customWidth="1"/>
    <col min="5637" max="5637" width="4.85546875" style="184" customWidth="1"/>
    <col min="5638" max="5888" width="11.42578125" style="184"/>
    <col min="5889" max="5889" width="4.85546875" style="184" customWidth="1"/>
    <col min="5890" max="5890" width="30.85546875" style="184" customWidth="1"/>
    <col min="5891" max="5891" width="84.42578125" style="184" customWidth="1"/>
    <col min="5892" max="5892" width="42.7109375" style="184" customWidth="1"/>
    <col min="5893" max="5893" width="4.85546875" style="184" customWidth="1"/>
    <col min="5894" max="6144" width="11.42578125" style="184"/>
    <col min="6145" max="6145" width="4.85546875" style="184" customWidth="1"/>
    <col min="6146" max="6146" width="30.85546875" style="184" customWidth="1"/>
    <col min="6147" max="6147" width="84.42578125" style="184" customWidth="1"/>
    <col min="6148" max="6148" width="42.7109375" style="184" customWidth="1"/>
    <col min="6149" max="6149" width="4.85546875" style="184" customWidth="1"/>
    <col min="6150" max="6400" width="11.42578125" style="184"/>
    <col min="6401" max="6401" width="4.85546875" style="184" customWidth="1"/>
    <col min="6402" max="6402" width="30.85546875" style="184" customWidth="1"/>
    <col min="6403" max="6403" width="84.42578125" style="184" customWidth="1"/>
    <col min="6404" max="6404" width="42.7109375" style="184" customWidth="1"/>
    <col min="6405" max="6405" width="4.85546875" style="184" customWidth="1"/>
    <col min="6406" max="6656" width="11.42578125" style="184"/>
    <col min="6657" max="6657" width="4.85546875" style="184" customWidth="1"/>
    <col min="6658" max="6658" width="30.85546875" style="184" customWidth="1"/>
    <col min="6659" max="6659" width="84.42578125" style="184" customWidth="1"/>
    <col min="6660" max="6660" width="42.7109375" style="184" customWidth="1"/>
    <col min="6661" max="6661" width="4.85546875" style="184" customWidth="1"/>
    <col min="6662" max="6912" width="11.42578125" style="184"/>
    <col min="6913" max="6913" width="4.85546875" style="184" customWidth="1"/>
    <col min="6914" max="6914" width="30.85546875" style="184" customWidth="1"/>
    <col min="6915" max="6915" width="84.42578125" style="184" customWidth="1"/>
    <col min="6916" max="6916" width="42.7109375" style="184" customWidth="1"/>
    <col min="6917" max="6917" width="4.85546875" style="184" customWidth="1"/>
    <col min="6918" max="7168" width="11.42578125" style="184"/>
    <col min="7169" max="7169" width="4.85546875" style="184" customWidth="1"/>
    <col min="7170" max="7170" width="30.85546875" style="184" customWidth="1"/>
    <col min="7171" max="7171" width="84.42578125" style="184" customWidth="1"/>
    <col min="7172" max="7172" width="42.7109375" style="184" customWidth="1"/>
    <col min="7173" max="7173" width="4.85546875" style="184" customWidth="1"/>
    <col min="7174" max="7424" width="11.42578125" style="184"/>
    <col min="7425" max="7425" width="4.85546875" style="184" customWidth="1"/>
    <col min="7426" max="7426" width="30.85546875" style="184" customWidth="1"/>
    <col min="7427" max="7427" width="84.42578125" style="184" customWidth="1"/>
    <col min="7428" max="7428" width="42.7109375" style="184" customWidth="1"/>
    <col min="7429" max="7429" width="4.85546875" style="184" customWidth="1"/>
    <col min="7430" max="7680" width="11.42578125" style="184"/>
    <col min="7681" max="7681" width="4.85546875" style="184" customWidth="1"/>
    <col min="7682" max="7682" width="30.85546875" style="184" customWidth="1"/>
    <col min="7683" max="7683" width="84.42578125" style="184" customWidth="1"/>
    <col min="7684" max="7684" width="42.7109375" style="184" customWidth="1"/>
    <col min="7685" max="7685" width="4.85546875" style="184" customWidth="1"/>
    <col min="7686" max="7936" width="11.42578125" style="184"/>
    <col min="7937" max="7937" width="4.85546875" style="184" customWidth="1"/>
    <col min="7938" max="7938" width="30.85546875" style="184" customWidth="1"/>
    <col min="7939" max="7939" width="84.42578125" style="184" customWidth="1"/>
    <col min="7940" max="7940" width="42.7109375" style="184" customWidth="1"/>
    <col min="7941" max="7941" width="4.85546875" style="184" customWidth="1"/>
    <col min="7942" max="8192" width="11.42578125" style="184"/>
    <col min="8193" max="8193" width="4.85546875" style="184" customWidth="1"/>
    <col min="8194" max="8194" width="30.85546875" style="184" customWidth="1"/>
    <col min="8195" max="8195" width="84.42578125" style="184" customWidth="1"/>
    <col min="8196" max="8196" width="42.7109375" style="184" customWidth="1"/>
    <col min="8197" max="8197" width="4.85546875" style="184" customWidth="1"/>
    <col min="8198" max="8448" width="11.42578125" style="184"/>
    <col min="8449" max="8449" width="4.85546875" style="184" customWidth="1"/>
    <col min="8450" max="8450" width="30.85546875" style="184" customWidth="1"/>
    <col min="8451" max="8451" width="84.42578125" style="184" customWidth="1"/>
    <col min="8452" max="8452" width="42.7109375" style="184" customWidth="1"/>
    <col min="8453" max="8453" width="4.85546875" style="184" customWidth="1"/>
    <col min="8454" max="8704" width="11.42578125" style="184"/>
    <col min="8705" max="8705" width="4.85546875" style="184" customWidth="1"/>
    <col min="8706" max="8706" width="30.85546875" style="184" customWidth="1"/>
    <col min="8707" max="8707" width="84.42578125" style="184" customWidth="1"/>
    <col min="8708" max="8708" width="42.7109375" style="184" customWidth="1"/>
    <col min="8709" max="8709" width="4.85546875" style="184" customWidth="1"/>
    <col min="8710" max="8960" width="11.42578125" style="184"/>
    <col min="8961" max="8961" width="4.85546875" style="184" customWidth="1"/>
    <col min="8962" max="8962" width="30.85546875" style="184" customWidth="1"/>
    <col min="8963" max="8963" width="84.42578125" style="184" customWidth="1"/>
    <col min="8964" max="8964" width="42.7109375" style="184" customWidth="1"/>
    <col min="8965" max="8965" width="4.85546875" style="184" customWidth="1"/>
    <col min="8966" max="9216" width="11.42578125" style="184"/>
    <col min="9217" max="9217" width="4.85546875" style="184" customWidth="1"/>
    <col min="9218" max="9218" width="30.85546875" style="184" customWidth="1"/>
    <col min="9219" max="9219" width="84.42578125" style="184" customWidth="1"/>
    <col min="9220" max="9220" width="42.7109375" style="184" customWidth="1"/>
    <col min="9221" max="9221" width="4.85546875" style="184" customWidth="1"/>
    <col min="9222" max="9472" width="11.42578125" style="184"/>
    <col min="9473" max="9473" width="4.85546875" style="184" customWidth="1"/>
    <col min="9474" max="9474" width="30.85546875" style="184" customWidth="1"/>
    <col min="9475" max="9475" width="84.42578125" style="184" customWidth="1"/>
    <col min="9476" max="9476" width="42.7109375" style="184" customWidth="1"/>
    <col min="9477" max="9477" width="4.85546875" style="184" customWidth="1"/>
    <col min="9478" max="9728" width="11.42578125" style="184"/>
    <col min="9729" max="9729" width="4.85546875" style="184" customWidth="1"/>
    <col min="9730" max="9730" width="30.85546875" style="184" customWidth="1"/>
    <col min="9731" max="9731" width="84.42578125" style="184" customWidth="1"/>
    <col min="9732" max="9732" width="42.7109375" style="184" customWidth="1"/>
    <col min="9733" max="9733" width="4.85546875" style="184" customWidth="1"/>
    <col min="9734" max="9984" width="11.42578125" style="184"/>
    <col min="9985" max="9985" width="4.85546875" style="184" customWidth="1"/>
    <col min="9986" max="9986" width="30.85546875" style="184" customWidth="1"/>
    <col min="9987" max="9987" width="84.42578125" style="184" customWidth="1"/>
    <col min="9988" max="9988" width="42.7109375" style="184" customWidth="1"/>
    <col min="9989" max="9989" width="4.85546875" style="184" customWidth="1"/>
    <col min="9990" max="10240" width="11.42578125" style="184"/>
    <col min="10241" max="10241" width="4.85546875" style="184" customWidth="1"/>
    <col min="10242" max="10242" width="30.85546875" style="184" customWidth="1"/>
    <col min="10243" max="10243" width="84.42578125" style="184" customWidth="1"/>
    <col min="10244" max="10244" width="42.7109375" style="184" customWidth="1"/>
    <col min="10245" max="10245" width="4.85546875" style="184" customWidth="1"/>
    <col min="10246" max="10496" width="11.42578125" style="184"/>
    <col min="10497" max="10497" width="4.85546875" style="184" customWidth="1"/>
    <col min="10498" max="10498" width="30.85546875" style="184" customWidth="1"/>
    <col min="10499" max="10499" width="84.42578125" style="184" customWidth="1"/>
    <col min="10500" max="10500" width="42.7109375" style="184" customWidth="1"/>
    <col min="10501" max="10501" width="4.85546875" style="184" customWidth="1"/>
    <col min="10502" max="10752" width="11.42578125" style="184"/>
    <col min="10753" max="10753" width="4.85546875" style="184" customWidth="1"/>
    <col min="10754" max="10754" width="30.85546875" style="184" customWidth="1"/>
    <col min="10755" max="10755" width="84.42578125" style="184" customWidth="1"/>
    <col min="10756" max="10756" width="42.7109375" style="184" customWidth="1"/>
    <col min="10757" max="10757" width="4.85546875" style="184" customWidth="1"/>
    <col min="10758" max="11008" width="11.42578125" style="184"/>
    <col min="11009" max="11009" width="4.85546875" style="184" customWidth="1"/>
    <col min="11010" max="11010" width="30.85546875" style="184" customWidth="1"/>
    <col min="11011" max="11011" width="84.42578125" style="184" customWidth="1"/>
    <col min="11012" max="11012" width="42.7109375" style="184" customWidth="1"/>
    <col min="11013" max="11013" width="4.85546875" style="184" customWidth="1"/>
    <col min="11014" max="11264" width="11.42578125" style="184"/>
    <col min="11265" max="11265" width="4.85546875" style="184" customWidth="1"/>
    <col min="11266" max="11266" width="30.85546875" style="184" customWidth="1"/>
    <col min="11267" max="11267" width="84.42578125" style="184" customWidth="1"/>
    <col min="11268" max="11268" width="42.7109375" style="184" customWidth="1"/>
    <col min="11269" max="11269" width="4.85546875" style="184" customWidth="1"/>
    <col min="11270" max="11520" width="11.42578125" style="184"/>
    <col min="11521" max="11521" width="4.85546875" style="184" customWidth="1"/>
    <col min="11522" max="11522" width="30.85546875" style="184" customWidth="1"/>
    <col min="11523" max="11523" width="84.42578125" style="184" customWidth="1"/>
    <col min="11524" max="11524" width="42.7109375" style="184" customWidth="1"/>
    <col min="11525" max="11525" width="4.85546875" style="184" customWidth="1"/>
    <col min="11526" max="11776" width="11.42578125" style="184"/>
    <col min="11777" max="11777" width="4.85546875" style="184" customWidth="1"/>
    <col min="11778" max="11778" width="30.85546875" style="184" customWidth="1"/>
    <col min="11779" max="11779" width="84.42578125" style="184" customWidth="1"/>
    <col min="11780" max="11780" width="42.7109375" style="184" customWidth="1"/>
    <col min="11781" max="11781" width="4.85546875" style="184" customWidth="1"/>
    <col min="11782" max="12032" width="11.42578125" style="184"/>
    <col min="12033" max="12033" width="4.85546875" style="184" customWidth="1"/>
    <col min="12034" max="12034" width="30.85546875" style="184" customWidth="1"/>
    <col min="12035" max="12035" width="84.42578125" style="184" customWidth="1"/>
    <col min="12036" max="12036" width="42.7109375" style="184" customWidth="1"/>
    <col min="12037" max="12037" width="4.85546875" style="184" customWidth="1"/>
    <col min="12038" max="12288" width="11.42578125" style="184"/>
    <col min="12289" max="12289" width="4.85546875" style="184" customWidth="1"/>
    <col min="12290" max="12290" width="30.85546875" style="184" customWidth="1"/>
    <col min="12291" max="12291" width="84.42578125" style="184" customWidth="1"/>
    <col min="12292" max="12292" width="42.7109375" style="184" customWidth="1"/>
    <col min="12293" max="12293" width="4.85546875" style="184" customWidth="1"/>
    <col min="12294" max="12544" width="11.42578125" style="184"/>
    <col min="12545" max="12545" width="4.85546875" style="184" customWidth="1"/>
    <col min="12546" max="12546" width="30.85546875" style="184" customWidth="1"/>
    <col min="12547" max="12547" width="84.42578125" style="184" customWidth="1"/>
    <col min="12548" max="12548" width="42.7109375" style="184" customWidth="1"/>
    <col min="12549" max="12549" width="4.85546875" style="184" customWidth="1"/>
    <col min="12550" max="12800" width="11.42578125" style="184"/>
    <col min="12801" max="12801" width="4.85546875" style="184" customWidth="1"/>
    <col min="12802" max="12802" width="30.85546875" style="184" customWidth="1"/>
    <col min="12803" max="12803" width="84.42578125" style="184" customWidth="1"/>
    <col min="12804" max="12804" width="42.7109375" style="184" customWidth="1"/>
    <col min="12805" max="12805" width="4.85546875" style="184" customWidth="1"/>
    <col min="12806" max="13056" width="11.42578125" style="184"/>
    <col min="13057" max="13057" width="4.85546875" style="184" customWidth="1"/>
    <col min="13058" max="13058" width="30.85546875" style="184" customWidth="1"/>
    <col min="13059" max="13059" width="84.42578125" style="184" customWidth="1"/>
    <col min="13060" max="13060" width="42.7109375" style="184" customWidth="1"/>
    <col min="13061" max="13061" width="4.85546875" style="184" customWidth="1"/>
    <col min="13062" max="13312" width="11.42578125" style="184"/>
    <col min="13313" max="13313" width="4.85546875" style="184" customWidth="1"/>
    <col min="13314" max="13314" width="30.85546875" style="184" customWidth="1"/>
    <col min="13315" max="13315" width="84.42578125" style="184" customWidth="1"/>
    <col min="13316" max="13316" width="42.7109375" style="184" customWidth="1"/>
    <col min="13317" max="13317" width="4.85546875" style="184" customWidth="1"/>
    <col min="13318" max="13568" width="11.42578125" style="184"/>
    <col min="13569" max="13569" width="4.85546875" style="184" customWidth="1"/>
    <col min="13570" max="13570" width="30.85546875" style="184" customWidth="1"/>
    <col min="13571" max="13571" width="84.42578125" style="184" customWidth="1"/>
    <col min="13572" max="13572" width="42.7109375" style="184" customWidth="1"/>
    <col min="13573" max="13573" width="4.85546875" style="184" customWidth="1"/>
    <col min="13574" max="13824" width="11.42578125" style="184"/>
    <col min="13825" max="13825" width="4.85546875" style="184" customWidth="1"/>
    <col min="13826" max="13826" width="30.85546875" style="184" customWidth="1"/>
    <col min="13827" max="13827" width="84.42578125" style="184" customWidth="1"/>
    <col min="13828" max="13828" width="42.7109375" style="184" customWidth="1"/>
    <col min="13829" max="13829" width="4.85546875" style="184" customWidth="1"/>
    <col min="13830" max="14080" width="11.42578125" style="184"/>
    <col min="14081" max="14081" width="4.85546875" style="184" customWidth="1"/>
    <col min="14082" max="14082" width="30.85546875" style="184" customWidth="1"/>
    <col min="14083" max="14083" width="84.42578125" style="184" customWidth="1"/>
    <col min="14084" max="14084" width="42.7109375" style="184" customWidth="1"/>
    <col min="14085" max="14085" width="4.85546875" style="184" customWidth="1"/>
    <col min="14086" max="14336" width="11.42578125" style="184"/>
    <col min="14337" max="14337" width="4.85546875" style="184" customWidth="1"/>
    <col min="14338" max="14338" width="30.85546875" style="184" customWidth="1"/>
    <col min="14339" max="14339" width="84.42578125" style="184" customWidth="1"/>
    <col min="14340" max="14340" width="42.7109375" style="184" customWidth="1"/>
    <col min="14341" max="14341" width="4.85546875" style="184" customWidth="1"/>
    <col min="14342" max="14592" width="11.42578125" style="184"/>
    <col min="14593" max="14593" width="4.85546875" style="184" customWidth="1"/>
    <col min="14594" max="14594" width="30.85546875" style="184" customWidth="1"/>
    <col min="14595" max="14595" width="84.42578125" style="184" customWidth="1"/>
    <col min="14596" max="14596" width="42.7109375" style="184" customWidth="1"/>
    <col min="14597" max="14597" width="4.85546875" style="184" customWidth="1"/>
    <col min="14598" max="14848" width="11.42578125" style="184"/>
    <col min="14849" max="14849" width="4.85546875" style="184" customWidth="1"/>
    <col min="14850" max="14850" width="30.85546875" style="184" customWidth="1"/>
    <col min="14851" max="14851" width="84.42578125" style="184" customWidth="1"/>
    <col min="14852" max="14852" width="42.7109375" style="184" customWidth="1"/>
    <col min="14853" max="14853" width="4.85546875" style="184" customWidth="1"/>
    <col min="14854" max="15104" width="11.42578125" style="184"/>
    <col min="15105" max="15105" width="4.85546875" style="184" customWidth="1"/>
    <col min="15106" max="15106" width="30.85546875" style="184" customWidth="1"/>
    <col min="15107" max="15107" width="84.42578125" style="184" customWidth="1"/>
    <col min="15108" max="15108" width="42.7109375" style="184" customWidth="1"/>
    <col min="15109" max="15109" width="4.85546875" style="184" customWidth="1"/>
    <col min="15110" max="15360" width="11.42578125" style="184"/>
    <col min="15361" max="15361" width="4.85546875" style="184" customWidth="1"/>
    <col min="15362" max="15362" width="30.85546875" style="184" customWidth="1"/>
    <col min="15363" max="15363" width="84.42578125" style="184" customWidth="1"/>
    <col min="15364" max="15364" width="42.7109375" style="184" customWidth="1"/>
    <col min="15365" max="15365" width="4.85546875" style="184" customWidth="1"/>
    <col min="15366" max="15616" width="11.42578125" style="184"/>
    <col min="15617" max="15617" width="4.85546875" style="184" customWidth="1"/>
    <col min="15618" max="15618" width="30.85546875" style="184" customWidth="1"/>
    <col min="15619" max="15619" width="84.42578125" style="184" customWidth="1"/>
    <col min="15620" max="15620" width="42.7109375" style="184" customWidth="1"/>
    <col min="15621" max="15621" width="4.85546875" style="184" customWidth="1"/>
    <col min="15622" max="15872" width="11.42578125" style="184"/>
    <col min="15873" max="15873" width="4.85546875" style="184" customWidth="1"/>
    <col min="15874" max="15874" width="30.85546875" style="184" customWidth="1"/>
    <col min="15875" max="15875" width="84.42578125" style="184" customWidth="1"/>
    <col min="15876" max="15876" width="42.7109375" style="184" customWidth="1"/>
    <col min="15877" max="15877" width="4.85546875" style="184" customWidth="1"/>
    <col min="15878" max="16128" width="11.42578125" style="184"/>
    <col min="16129" max="16129" width="4.85546875" style="184" customWidth="1"/>
    <col min="16130" max="16130" width="30.85546875" style="184" customWidth="1"/>
    <col min="16131" max="16131" width="84.42578125" style="184" customWidth="1"/>
    <col min="16132" max="16132" width="42.7109375" style="184" customWidth="1"/>
    <col min="16133" max="16133" width="4.85546875" style="184" customWidth="1"/>
    <col min="16134" max="16384" width="11.42578125" style="184"/>
  </cols>
  <sheetData>
    <row r="1" spans="1:11" s="179" customFormat="1">
      <c r="B1" s="697" t="s">
        <v>394</v>
      </c>
      <c r="C1" s="697"/>
      <c r="D1" s="697"/>
      <c r="E1" s="697"/>
    </row>
    <row r="2" spans="1:11" s="179" customFormat="1">
      <c r="B2" s="697" t="s">
        <v>1018</v>
      </c>
      <c r="C2" s="697"/>
      <c r="D2" s="697"/>
      <c r="E2" s="697"/>
    </row>
    <row r="3" spans="1:11" s="179" customFormat="1">
      <c r="B3" s="697" t="s">
        <v>1</v>
      </c>
      <c r="C3" s="697"/>
      <c r="D3" s="697"/>
      <c r="E3" s="697"/>
    </row>
    <row r="4" spans="1:11" ht="12.75">
      <c r="A4" s="180"/>
      <c r="B4" s="181" t="s">
        <v>4</v>
      </c>
      <c r="C4" s="533" t="s">
        <v>1010</v>
      </c>
      <c r="D4" s="533"/>
      <c r="E4" s="533"/>
      <c r="F4" s="533"/>
      <c r="G4" s="534"/>
      <c r="H4" s="534"/>
      <c r="I4" s="534"/>
      <c r="J4" s="534"/>
      <c r="K4" s="190"/>
    </row>
    <row r="5" spans="1:11">
      <c r="A5" s="180"/>
      <c r="B5" s="185"/>
      <c r="C5" s="186"/>
      <c r="D5" s="186"/>
      <c r="E5" s="187"/>
    </row>
    <row r="6" spans="1:11" s="190" customFormat="1">
      <c r="A6" s="188"/>
      <c r="B6" s="189"/>
      <c r="C6" s="188"/>
      <c r="D6" s="188"/>
      <c r="E6" s="189"/>
    </row>
    <row r="7" spans="1:11" s="193" customFormat="1">
      <c r="A7" s="694" t="s">
        <v>391</v>
      </c>
      <c r="B7" s="600"/>
      <c r="C7" s="191" t="s">
        <v>395</v>
      </c>
      <c r="D7" s="191" t="s">
        <v>393</v>
      </c>
      <c r="E7" s="192"/>
    </row>
    <row r="8" spans="1:11" s="190" customFormat="1">
      <c r="A8" s="194"/>
      <c r="B8" s="195"/>
      <c r="C8" s="195"/>
      <c r="D8" s="195"/>
      <c r="E8" s="196"/>
    </row>
    <row r="9" spans="1:11" ht="24">
      <c r="A9" s="197"/>
      <c r="B9" s="535" t="s">
        <v>1007</v>
      </c>
      <c r="C9" s="199" t="s">
        <v>1008</v>
      </c>
      <c r="D9" s="200">
        <v>3124187</v>
      </c>
      <c r="E9" s="201"/>
    </row>
    <row r="10" spans="1:11" ht="24">
      <c r="A10" s="197"/>
      <c r="B10" s="535" t="s">
        <v>1007</v>
      </c>
      <c r="C10" s="199" t="s">
        <v>1009</v>
      </c>
      <c r="D10" s="200">
        <v>200000</v>
      </c>
      <c r="E10" s="201"/>
    </row>
    <row r="11" spans="1:11">
      <c r="A11" s="197"/>
      <c r="B11" s="198"/>
      <c r="C11" s="199"/>
      <c r="D11" s="200">
        <v>0</v>
      </c>
      <c r="E11" s="201"/>
    </row>
    <row r="12" spans="1:11">
      <c r="A12" s="197"/>
      <c r="B12" s="198"/>
      <c r="C12" s="199"/>
      <c r="D12" s="200">
        <v>0</v>
      </c>
      <c r="E12" s="201"/>
    </row>
    <row r="13" spans="1:11">
      <c r="A13" s="197"/>
      <c r="B13" s="198"/>
      <c r="C13" s="199"/>
      <c r="D13" s="200">
        <v>0</v>
      </c>
      <c r="E13" s="201"/>
    </row>
    <row r="14" spans="1:11">
      <c r="A14" s="197"/>
      <c r="B14" s="198"/>
      <c r="C14" s="199"/>
      <c r="D14" s="200">
        <v>0</v>
      </c>
      <c r="E14" s="201"/>
    </row>
    <row r="15" spans="1:11">
      <c r="A15" s="197"/>
      <c r="B15" s="198"/>
      <c r="C15" s="199"/>
      <c r="D15" s="200">
        <v>0</v>
      </c>
      <c r="E15" s="201"/>
    </row>
    <row r="16" spans="1:11">
      <c r="A16" s="197"/>
      <c r="B16" s="198"/>
      <c r="C16" s="199"/>
      <c r="D16" s="200">
        <v>0</v>
      </c>
      <c r="E16" s="201"/>
    </row>
    <row r="17" spans="1:5">
      <c r="A17" s="202"/>
      <c r="B17" s="203"/>
      <c r="C17" s="199"/>
      <c r="D17" s="200">
        <v>0</v>
      </c>
      <c r="E17" s="201"/>
    </row>
    <row r="18" spans="1:5">
      <c r="A18" s="202"/>
      <c r="B18" s="203"/>
      <c r="C18" s="199"/>
      <c r="D18" s="200">
        <v>0</v>
      </c>
      <c r="E18" s="201"/>
    </row>
    <row r="19" spans="1:5">
      <c r="A19" s="202"/>
      <c r="B19" s="203"/>
      <c r="C19" s="199"/>
      <c r="D19" s="200">
        <v>0</v>
      </c>
      <c r="E19" s="201"/>
    </row>
    <row r="20" spans="1:5">
      <c r="A20" s="202"/>
      <c r="B20" s="203"/>
      <c r="C20" s="199"/>
      <c r="D20" s="200">
        <v>0</v>
      </c>
      <c r="E20" s="201"/>
    </row>
    <row r="21" spans="1:5">
      <c r="A21" s="202"/>
      <c r="B21" s="203"/>
      <c r="C21" s="199"/>
      <c r="D21" s="200">
        <v>0</v>
      </c>
      <c r="E21" s="201"/>
    </row>
    <row r="22" spans="1:5">
      <c r="A22" s="202"/>
      <c r="B22" s="203"/>
      <c r="C22" s="199"/>
      <c r="D22" s="200">
        <v>0</v>
      </c>
      <c r="E22" s="201"/>
    </row>
    <row r="23" spans="1:5">
      <c r="A23" s="202"/>
      <c r="B23" s="203"/>
      <c r="C23" s="199"/>
      <c r="D23" s="200">
        <v>0</v>
      </c>
      <c r="E23" s="201"/>
    </row>
    <row r="24" spans="1:5">
      <c r="A24" s="202"/>
      <c r="B24" s="203"/>
      <c r="C24" s="199"/>
      <c r="D24" s="200">
        <v>0</v>
      </c>
      <c r="E24" s="201"/>
    </row>
    <row r="25" spans="1:5">
      <c r="A25" s="202"/>
      <c r="B25" s="203"/>
      <c r="C25" s="199"/>
      <c r="D25" s="200">
        <v>0</v>
      </c>
      <c r="E25" s="201"/>
    </row>
    <row r="26" spans="1:5">
      <c r="A26" s="202"/>
      <c r="B26" s="203"/>
      <c r="C26" s="199"/>
      <c r="D26" s="200">
        <v>0</v>
      </c>
      <c r="E26" s="201"/>
    </row>
    <row r="27" spans="1:5">
      <c r="A27" s="202"/>
      <c r="B27" s="203"/>
      <c r="C27" s="199"/>
      <c r="D27" s="200">
        <v>0</v>
      </c>
      <c r="E27" s="201"/>
    </row>
    <row r="28" spans="1:5">
      <c r="A28" s="202"/>
      <c r="B28" s="203"/>
      <c r="C28" s="199"/>
      <c r="D28" s="200">
        <v>0</v>
      </c>
      <c r="E28" s="201"/>
    </row>
    <row r="29" spans="1:5">
      <c r="A29" s="202"/>
      <c r="B29" s="203"/>
      <c r="C29" s="199"/>
      <c r="D29" s="200">
        <v>0</v>
      </c>
      <c r="E29" s="201"/>
    </row>
    <row r="30" spans="1:5">
      <c r="A30" s="202"/>
      <c r="B30" s="203"/>
      <c r="C30" s="199"/>
      <c r="D30" s="200">
        <v>0</v>
      </c>
      <c r="E30" s="201"/>
    </row>
    <row r="31" spans="1:5">
      <c r="A31" s="197"/>
      <c r="B31" s="198"/>
      <c r="C31" s="199"/>
      <c r="D31" s="200">
        <v>0</v>
      </c>
      <c r="E31" s="201"/>
    </row>
    <row r="32" spans="1:5">
      <c r="A32" s="197"/>
      <c r="B32" s="198"/>
      <c r="C32" s="199"/>
      <c r="D32" s="200">
        <v>0</v>
      </c>
      <c r="E32" s="201"/>
    </row>
    <row r="33" spans="1:9">
      <c r="A33" s="197"/>
      <c r="B33" s="198"/>
      <c r="C33" s="199"/>
      <c r="D33" s="200">
        <v>0</v>
      </c>
      <c r="E33" s="201"/>
    </row>
    <row r="34" spans="1:9">
      <c r="A34" s="197"/>
      <c r="B34" s="198"/>
      <c r="C34" s="199"/>
      <c r="D34" s="200">
        <v>0</v>
      </c>
      <c r="E34" s="201"/>
    </row>
    <row r="35" spans="1:9">
      <c r="A35" s="197"/>
      <c r="B35" s="198"/>
      <c r="C35" s="199"/>
      <c r="D35" s="200">
        <v>0</v>
      </c>
      <c r="E35" s="201"/>
    </row>
    <row r="36" spans="1:9">
      <c r="A36" s="197"/>
      <c r="B36" s="198"/>
      <c r="C36" s="199"/>
      <c r="D36" s="200">
        <v>0</v>
      </c>
      <c r="E36" s="201"/>
    </row>
    <row r="37" spans="1:9">
      <c r="A37" s="197"/>
      <c r="B37" s="198"/>
      <c r="C37" s="199"/>
      <c r="D37" s="200">
        <v>0</v>
      </c>
      <c r="E37" s="201"/>
    </row>
    <row r="38" spans="1:9">
      <c r="A38" s="197"/>
      <c r="B38" s="198"/>
      <c r="C38" s="199"/>
      <c r="D38" s="200">
        <v>0</v>
      </c>
      <c r="E38" s="201"/>
    </row>
    <row r="39" spans="1:9">
      <c r="A39" s="197"/>
      <c r="B39" s="198"/>
      <c r="C39" s="199"/>
      <c r="D39" s="200">
        <v>0</v>
      </c>
      <c r="E39" s="201"/>
    </row>
    <row r="40" spans="1:9">
      <c r="A40" s="197"/>
      <c r="B40" s="198"/>
      <c r="C40" s="199"/>
      <c r="D40" s="200">
        <v>0</v>
      </c>
      <c r="E40" s="201"/>
    </row>
    <row r="41" spans="1:9">
      <c r="A41" s="197"/>
      <c r="B41" s="198"/>
      <c r="C41" s="199"/>
      <c r="D41" s="200">
        <v>0</v>
      </c>
      <c r="E41" s="201"/>
    </row>
    <row r="42" spans="1:9">
      <c r="A42" s="197"/>
      <c r="B42" s="198"/>
      <c r="C42" s="199"/>
      <c r="D42" s="200">
        <v>0</v>
      </c>
      <c r="E42" s="201"/>
    </row>
    <row r="43" spans="1:9" ht="15">
      <c r="A43" s="204"/>
      <c r="B43" s="205"/>
      <c r="C43" s="206"/>
      <c r="D43" s="207"/>
      <c r="E43" s="208"/>
    </row>
    <row r="44" spans="1:9">
      <c r="A44" s="209"/>
      <c r="B44" s="210"/>
      <c r="C44" s="695"/>
      <c r="D44" s="696"/>
      <c r="E44" s="696"/>
    </row>
    <row r="45" spans="1:9">
      <c r="A45" s="211"/>
      <c r="B45" s="211"/>
      <c r="C45" s="211"/>
      <c r="E45" s="212"/>
      <c r="F45" s="212"/>
      <c r="G45" s="211"/>
      <c r="H45" s="211"/>
      <c r="I45" s="211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A31" zoomScaleNormal="100" zoomScalePageLayoutView="80" workbookViewId="0">
      <selection activeCell="O47" sqref="O47"/>
    </sheetView>
  </sheetViews>
  <sheetFormatPr baseColWidth="10" defaultRowHeight="12"/>
  <cols>
    <col min="1" max="1" width="4.85546875" style="218" customWidth="1"/>
    <col min="2" max="2" width="27.5703125" style="219" customWidth="1"/>
    <col min="3" max="3" width="23.5703125" style="218" customWidth="1"/>
    <col min="4" max="5" width="8.85546875" style="218" bestFit="1" customWidth="1"/>
    <col min="6" max="6" width="11" style="220" customWidth="1"/>
    <col min="7" max="7" width="27.5703125" style="218" customWidth="1"/>
    <col min="8" max="8" width="27.28515625" style="218" customWidth="1"/>
    <col min="9" max="9" width="8.85546875" style="218" bestFit="1" customWidth="1"/>
    <col min="10" max="10" width="9" style="218" customWidth="1"/>
    <col min="11" max="11" width="4.85546875" style="170" customWidth="1"/>
    <col min="12" max="12" width="1.7109375" style="217" customWidth="1"/>
    <col min="13" max="16384" width="11.42578125" style="218"/>
  </cols>
  <sheetData>
    <row r="1" spans="1:12" ht="6" customHeight="1">
      <c r="A1" s="184"/>
      <c r="B1" s="214"/>
      <c r="C1" s="184"/>
      <c r="D1" s="215"/>
      <c r="E1" s="215"/>
      <c r="F1" s="216"/>
      <c r="G1" s="215"/>
      <c r="H1" s="215"/>
      <c r="I1" s="215"/>
      <c r="J1" s="184"/>
      <c r="K1" s="184"/>
    </row>
    <row r="2" spans="1:12" ht="6" customHeight="1">
      <c r="K2" s="218"/>
      <c r="L2" s="219"/>
    </row>
    <row r="3" spans="1:12" ht="14.1" customHeight="1">
      <c r="B3" s="221"/>
      <c r="C3" s="566" t="s">
        <v>1018</v>
      </c>
      <c r="D3" s="566"/>
      <c r="E3" s="566"/>
      <c r="F3" s="566"/>
      <c r="G3" s="566"/>
      <c r="H3" s="566"/>
      <c r="I3" s="566"/>
      <c r="J3" s="221"/>
      <c r="K3" s="221"/>
      <c r="L3" s="219"/>
    </row>
    <row r="4" spans="1:12" ht="14.1" customHeight="1">
      <c r="B4" s="221"/>
      <c r="C4" s="566" t="s">
        <v>0</v>
      </c>
      <c r="D4" s="566"/>
      <c r="E4" s="566"/>
      <c r="F4" s="566"/>
      <c r="G4" s="566"/>
      <c r="H4" s="566"/>
      <c r="I4" s="566"/>
      <c r="J4" s="221"/>
      <c r="K4" s="221"/>
    </row>
    <row r="5" spans="1:12" ht="14.1" customHeight="1">
      <c r="B5" s="221"/>
      <c r="C5" s="566" t="s">
        <v>1019</v>
      </c>
      <c r="D5" s="566"/>
      <c r="E5" s="566"/>
      <c r="F5" s="566"/>
      <c r="G5" s="566"/>
      <c r="H5" s="566"/>
      <c r="I5" s="566"/>
      <c r="J5" s="221"/>
      <c r="K5" s="221"/>
    </row>
    <row r="6" spans="1:12" ht="14.1" customHeight="1">
      <c r="B6" s="222"/>
      <c r="C6" s="567" t="s">
        <v>1</v>
      </c>
      <c r="D6" s="567"/>
      <c r="E6" s="567"/>
      <c r="F6" s="567"/>
      <c r="G6" s="567"/>
      <c r="H6" s="567"/>
      <c r="I6" s="567"/>
      <c r="J6" s="222"/>
      <c r="K6" s="222"/>
    </row>
    <row r="7" spans="1:12" ht="20.100000000000001" customHeight="1">
      <c r="A7" s="223"/>
      <c r="B7" s="224" t="s">
        <v>4</v>
      </c>
      <c r="C7" s="551" t="s">
        <v>1010</v>
      </c>
      <c r="D7" s="551"/>
      <c r="E7" s="551"/>
      <c r="F7" s="551"/>
      <c r="G7" s="551"/>
      <c r="H7" s="551"/>
      <c r="I7" s="551"/>
      <c r="J7" s="551"/>
    </row>
    <row r="8" spans="1:12" ht="3" customHeight="1">
      <c r="A8" s="222"/>
      <c r="B8" s="222"/>
      <c r="C8" s="222"/>
      <c r="D8" s="222"/>
      <c r="E8" s="222"/>
      <c r="F8" s="225"/>
      <c r="G8" s="222"/>
      <c r="H8" s="222"/>
      <c r="I8" s="222"/>
      <c r="J8" s="222"/>
      <c r="K8" s="218"/>
      <c r="L8" s="219"/>
    </row>
    <row r="9" spans="1:12" ht="3" customHeight="1">
      <c r="A9" s="222"/>
      <c r="B9" s="222"/>
      <c r="C9" s="222"/>
      <c r="D9" s="222"/>
      <c r="E9" s="222"/>
      <c r="F9" s="225"/>
      <c r="G9" s="222"/>
      <c r="H9" s="222"/>
      <c r="I9" s="222"/>
      <c r="J9" s="222"/>
    </row>
    <row r="10" spans="1:12" s="229" customFormat="1" ht="15" customHeight="1">
      <c r="A10" s="552"/>
      <c r="B10" s="554" t="s">
        <v>77</v>
      </c>
      <c r="C10" s="554"/>
      <c r="D10" s="226" t="s">
        <v>5</v>
      </c>
      <c r="E10" s="226"/>
      <c r="F10" s="556"/>
      <c r="G10" s="554" t="s">
        <v>77</v>
      </c>
      <c r="H10" s="554"/>
      <c r="I10" s="226" t="s">
        <v>5</v>
      </c>
      <c r="J10" s="226"/>
      <c r="K10" s="227"/>
      <c r="L10" s="228"/>
    </row>
    <row r="11" spans="1:12" s="229" customFormat="1" ht="15" customHeight="1">
      <c r="A11" s="553"/>
      <c r="B11" s="555"/>
      <c r="C11" s="555"/>
      <c r="D11" s="230">
        <v>2016</v>
      </c>
      <c r="E11" s="230">
        <v>2015</v>
      </c>
      <c r="F11" s="557"/>
      <c r="G11" s="555"/>
      <c r="H11" s="555"/>
      <c r="I11" s="230">
        <v>2016</v>
      </c>
      <c r="J11" s="230">
        <v>2015</v>
      </c>
      <c r="K11" s="231"/>
      <c r="L11" s="228"/>
    </row>
    <row r="12" spans="1:12" ht="3" customHeight="1">
      <c r="A12" s="232"/>
      <c r="B12" s="222"/>
      <c r="C12" s="222"/>
      <c r="D12" s="222"/>
      <c r="E12" s="222"/>
      <c r="F12" s="225"/>
      <c r="G12" s="222"/>
      <c r="H12" s="222"/>
      <c r="I12" s="222"/>
      <c r="J12" s="222"/>
      <c r="K12" s="233"/>
      <c r="L12" s="219"/>
    </row>
    <row r="13" spans="1:12" ht="3" customHeight="1">
      <c r="A13" s="232"/>
      <c r="B13" s="222"/>
      <c r="C13" s="222"/>
      <c r="D13" s="222"/>
      <c r="E13" s="222"/>
      <c r="F13" s="225"/>
      <c r="G13" s="222"/>
      <c r="H13" s="222"/>
      <c r="I13" s="222"/>
      <c r="J13" s="222"/>
      <c r="K13" s="233"/>
    </row>
    <row r="14" spans="1:12">
      <c r="A14" s="234"/>
      <c r="B14" s="559" t="s">
        <v>6</v>
      </c>
      <c r="C14" s="559"/>
      <c r="D14" s="235"/>
      <c r="E14" s="236"/>
      <c r="G14" s="559" t="s">
        <v>7</v>
      </c>
      <c r="H14" s="559"/>
      <c r="I14" s="237"/>
      <c r="J14" s="237"/>
      <c r="K14" s="233"/>
    </row>
    <row r="15" spans="1:12" ht="5.0999999999999996" customHeight="1">
      <c r="A15" s="234"/>
      <c r="B15" s="238"/>
      <c r="C15" s="237"/>
      <c r="D15" s="239"/>
      <c r="E15" s="239"/>
      <c r="G15" s="238"/>
      <c r="H15" s="237"/>
      <c r="I15" s="240"/>
      <c r="J15" s="240"/>
      <c r="K15" s="233"/>
    </row>
    <row r="16" spans="1:12">
      <c r="A16" s="234"/>
      <c r="B16" s="560" t="s">
        <v>8</v>
      </c>
      <c r="C16" s="560"/>
      <c r="D16" s="239"/>
      <c r="E16" s="239"/>
      <c r="G16" s="560" t="s">
        <v>9</v>
      </c>
      <c r="H16" s="560"/>
      <c r="I16" s="239"/>
      <c r="J16" s="239"/>
      <c r="K16" s="233"/>
    </row>
    <row r="17" spans="1:11" ht="5.0999999999999996" customHeight="1">
      <c r="A17" s="234"/>
      <c r="B17" s="241"/>
      <c r="C17" s="242"/>
      <c r="D17" s="239"/>
      <c r="E17" s="239"/>
      <c r="G17" s="241"/>
      <c r="H17" s="242"/>
      <c r="I17" s="239"/>
      <c r="J17" s="239"/>
      <c r="K17" s="233"/>
    </row>
    <row r="18" spans="1:11">
      <c r="A18" s="234"/>
      <c r="B18" s="558" t="s">
        <v>10</v>
      </c>
      <c r="C18" s="558"/>
      <c r="D18" s="243">
        <v>1339635</v>
      </c>
      <c r="E18" s="243">
        <v>1179590</v>
      </c>
      <c r="G18" s="558" t="s">
        <v>11</v>
      </c>
      <c r="H18" s="558"/>
      <c r="I18" s="243">
        <v>84256</v>
      </c>
      <c r="J18" s="243">
        <v>21367</v>
      </c>
      <c r="K18" s="233"/>
    </row>
    <row r="19" spans="1:11">
      <c r="A19" s="234"/>
      <c r="B19" s="558" t="s">
        <v>12</v>
      </c>
      <c r="C19" s="558"/>
      <c r="D19" s="243">
        <v>1327</v>
      </c>
      <c r="E19" s="243">
        <v>480</v>
      </c>
      <c r="G19" s="558" t="s">
        <v>13</v>
      </c>
      <c r="H19" s="558"/>
      <c r="I19" s="243">
        <v>0</v>
      </c>
      <c r="J19" s="243">
        <v>0</v>
      </c>
      <c r="K19" s="233"/>
    </row>
    <row r="20" spans="1:11">
      <c r="A20" s="234"/>
      <c r="B20" s="558" t="s">
        <v>14</v>
      </c>
      <c r="C20" s="558"/>
      <c r="D20" s="243">
        <v>0</v>
      </c>
      <c r="E20" s="243">
        <v>0</v>
      </c>
      <c r="G20" s="558" t="s">
        <v>15</v>
      </c>
      <c r="H20" s="558"/>
      <c r="I20" s="243">
        <v>0</v>
      </c>
      <c r="J20" s="243">
        <v>0</v>
      </c>
      <c r="K20" s="233"/>
    </row>
    <row r="21" spans="1:11">
      <c r="A21" s="234"/>
      <c r="B21" s="558" t="s">
        <v>16</v>
      </c>
      <c r="C21" s="558"/>
      <c r="D21" s="243">
        <v>0</v>
      </c>
      <c r="E21" s="243">
        <v>0</v>
      </c>
      <c r="G21" s="558" t="s">
        <v>17</v>
      </c>
      <c r="H21" s="558"/>
      <c r="I21" s="243">
        <v>0</v>
      </c>
      <c r="J21" s="243">
        <v>0</v>
      </c>
      <c r="K21" s="233"/>
    </row>
    <row r="22" spans="1:11">
      <c r="A22" s="234"/>
      <c r="B22" s="558" t="s">
        <v>18</v>
      </c>
      <c r="C22" s="558"/>
      <c r="D22" s="243">
        <v>0</v>
      </c>
      <c r="E22" s="243">
        <v>0</v>
      </c>
      <c r="G22" s="558" t="s">
        <v>19</v>
      </c>
      <c r="H22" s="558"/>
      <c r="I22" s="243">
        <v>0</v>
      </c>
      <c r="J22" s="243">
        <v>0</v>
      </c>
      <c r="K22" s="233"/>
    </row>
    <row r="23" spans="1:11" ht="25.5" customHeight="1">
      <c r="A23" s="234"/>
      <c r="B23" s="558" t="s">
        <v>20</v>
      </c>
      <c r="C23" s="558"/>
      <c r="D23" s="243">
        <v>0</v>
      </c>
      <c r="E23" s="243">
        <v>0</v>
      </c>
      <c r="G23" s="561" t="s">
        <v>21</v>
      </c>
      <c r="H23" s="561"/>
      <c r="I23" s="243">
        <v>0</v>
      </c>
      <c r="J23" s="243">
        <v>0</v>
      </c>
      <c r="K23" s="233"/>
    </row>
    <row r="24" spans="1:11">
      <c r="A24" s="234"/>
      <c r="B24" s="558" t="s">
        <v>22</v>
      </c>
      <c r="C24" s="558"/>
      <c r="D24" s="243">
        <v>0</v>
      </c>
      <c r="E24" s="243">
        <v>0</v>
      </c>
      <c r="G24" s="558" t="s">
        <v>23</v>
      </c>
      <c r="H24" s="558"/>
      <c r="I24" s="243">
        <v>0</v>
      </c>
      <c r="J24" s="243">
        <v>0</v>
      </c>
      <c r="K24" s="233"/>
    </row>
    <row r="25" spans="1:11">
      <c r="A25" s="234"/>
      <c r="B25" s="244"/>
      <c r="C25" s="245"/>
      <c r="D25" s="246"/>
      <c r="E25" s="246"/>
      <c r="G25" s="558" t="s">
        <v>24</v>
      </c>
      <c r="H25" s="558"/>
      <c r="I25" s="243">
        <v>0</v>
      </c>
      <c r="J25" s="243">
        <v>0</v>
      </c>
      <c r="K25" s="233"/>
    </row>
    <row r="26" spans="1:11">
      <c r="A26" s="247"/>
      <c r="B26" s="560" t="s">
        <v>25</v>
      </c>
      <c r="C26" s="560"/>
      <c r="D26" s="248">
        <f>SUM(D18:D24)</f>
        <v>1340962</v>
      </c>
      <c r="E26" s="248">
        <f>SUM(E18:E24)</f>
        <v>1180070</v>
      </c>
      <c r="F26" s="249"/>
      <c r="G26" s="238"/>
      <c r="H26" s="237"/>
      <c r="I26" s="250"/>
      <c r="J26" s="250"/>
      <c r="K26" s="233"/>
    </row>
    <row r="27" spans="1:11">
      <c r="A27" s="247"/>
      <c r="B27" s="238"/>
      <c r="C27" s="251"/>
      <c r="D27" s="250"/>
      <c r="E27" s="250"/>
      <c r="F27" s="249"/>
      <c r="G27" s="560" t="s">
        <v>26</v>
      </c>
      <c r="H27" s="560"/>
      <c r="I27" s="248">
        <f>SUM(I18:I25)</f>
        <v>84256</v>
      </c>
      <c r="J27" s="248">
        <f>SUM(J18:J25)</f>
        <v>21367</v>
      </c>
      <c r="K27" s="233"/>
    </row>
    <row r="28" spans="1:11">
      <c r="A28" s="234"/>
      <c r="B28" s="244"/>
      <c r="C28" s="244"/>
      <c r="D28" s="246"/>
      <c r="E28" s="246"/>
      <c r="G28" s="252"/>
      <c r="H28" s="245"/>
      <c r="I28" s="246"/>
      <c r="J28" s="246"/>
      <c r="K28" s="233"/>
    </row>
    <row r="29" spans="1:11">
      <c r="A29" s="234"/>
      <c r="B29" s="560" t="s">
        <v>27</v>
      </c>
      <c r="C29" s="560"/>
      <c r="D29" s="239"/>
      <c r="E29" s="239"/>
      <c r="G29" s="560" t="s">
        <v>28</v>
      </c>
      <c r="H29" s="560"/>
      <c r="I29" s="239"/>
      <c r="J29" s="239"/>
      <c r="K29" s="233"/>
    </row>
    <row r="30" spans="1:11">
      <c r="A30" s="234"/>
      <c r="B30" s="244"/>
      <c r="C30" s="244"/>
      <c r="D30" s="246"/>
      <c r="E30" s="246"/>
      <c r="G30" s="244"/>
      <c r="H30" s="245"/>
      <c r="I30" s="246"/>
      <c r="J30" s="246"/>
      <c r="K30" s="233"/>
    </row>
    <row r="31" spans="1:11">
      <c r="A31" s="234"/>
      <c r="B31" s="558" t="s">
        <v>29</v>
      </c>
      <c r="C31" s="558"/>
      <c r="D31" s="243">
        <v>0</v>
      </c>
      <c r="E31" s="243">
        <v>0</v>
      </c>
      <c r="G31" s="558" t="s">
        <v>30</v>
      </c>
      <c r="H31" s="558"/>
      <c r="I31" s="243">
        <v>0</v>
      </c>
      <c r="J31" s="243">
        <v>0</v>
      </c>
      <c r="K31" s="233"/>
    </row>
    <row r="32" spans="1:11">
      <c r="A32" s="234"/>
      <c r="B32" s="558" t="s">
        <v>31</v>
      </c>
      <c r="C32" s="558"/>
      <c r="D32" s="243">
        <v>0</v>
      </c>
      <c r="E32" s="243">
        <v>0</v>
      </c>
      <c r="G32" s="558" t="s">
        <v>32</v>
      </c>
      <c r="H32" s="558"/>
      <c r="I32" s="243">
        <v>0</v>
      </c>
      <c r="J32" s="243">
        <v>0</v>
      </c>
      <c r="K32" s="233"/>
    </row>
    <row r="33" spans="1:11">
      <c r="A33" s="234"/>
      <c r="B33" s="558" t="s">
        <v>33</v>
      </c>
      <c r="C33" s="558"/>
      <c r="D33" s="243">
        <v>3324187</v>
      </c>
      <c r="E33" s="243">
        <v>3324187</v>
      </c>
      <c r="G33" s="558" t="s">
        <v>34</v>
      </c>
      <c r="H33" s="558"/>
      <c r="I33" s="243">
        <v>0</v>
      </c>
      <c r="J33" s="243">
        <v>0</v>
      </c>
      <c r="K33" s="233"/>
    </row>
    <row r="34" spans="1:11">
      <c r="A34" s="234"/>
      <c r="B34" s="558" t="s">
        <v>35</v>
      </c>
      <c r="C34" s="558"/>
      <c r="D34" s="243">
        <v>1297566</v>
      </c>
      <c r="E34" s="243">
        <v>1287572</v>
      </c>
      <c r="G34" s="558" t="s">
        <v>36</v>
      </c>
      <c r="H34" s="558"/>
      <c r="I34" s="243">
        <v>0</v>
      </c>
      <c r="J34" s="243">
        <v>0</v>
      </c>
      <c r="K34" s="233"/>
    </row>
    <row r="35" spans="1:11" ht="26.25" customHeight="1">
      <c r="A35" s="234"/>
      <c r="B35" s="558" t="s">
        <v>37</v>
      </c>
      <c r="C35" s="558"/>
      <c r="D35" s="243">
        <v>0</v>
      </c>
      <c r="E35" s="243">
        <v>0</v>
      </c>
      <c r="G35" s="561" t="s">
        <v>38</v>
      </c>
      <c r="H35" s="561"/>
      <c r="I35" s="243">
        <v>0</v>
      </c>
      <c r="J35" s="243">
        <v>0</v>
      </c>
      <c r="K35" s="233"/>
    </row>
    <row r="36" spans="1:11">
      <c r="A36" s="234"/>
      <c r="B36" s="558" t="s">
        <v>39</v>
      </c>
      <c r="C36" s="558"/>
      <c r="D36" s="243">
        <v>0</v>
      </c>
      <c r="E36" s="243">
        <v>0</v>
      </c>
      <c r="G36" s="558" t="s">
        <v>40</v>
      </c>
      <c r="H36" s="558"/>
      <c r="I36" s="243">
        <v>0</v>
      </c>
      <c r="J36" s="243">
        <v>0</v>
      </c>
      <c r="K36" s="233"/>
    </row>
    <row r="37" spans="1:11">
      <c r="A37" s="234"/>
      <c r="B37" s="558" t="s">
        <v>41</v>
      </c>
      <c r="C37" s="558"/>
      <c r="D37" s="243">
        <v>0</v>
      </c>
      <c r="E37" s="243">
        <v>0</v>
      </c>
      <c r="G37" s="244"/>
      <c r="H37" s="245"/>
      <c r="I37" s="246"/>
      <c r="J37" s="246"/>
      <c r="K37" s="233"/>
    </row>
    <row r="38" spans="1:11">
      <c r="A38" s="234"/>
      <c r="B38" s="558" t="s">
        <v>42</v>
      </c>
      <c r="C38" s="558"/>
      <c r="D38" s="243">
        <v>0</v>
      </c>
      <c r="E38" s="243">
        <v>0</v>
      </c>
      <c r="G38" s="560" t="s">
        <v>43</v>
      </c>
      <c r="H38" s="560"/>
      <c r="I38" s="248">
        <f>SUM(I31:I36)</f>
        <v>0</v>
      </c>
      <c r="J38" s="248">
        <f>SUM(J31:J36)</f>
        <v>0</v>
      </c>
      <c r="K38" s="233"/>
    </row>
    <row r="39" spans="1:11">
      <c r="A39" s="234"/>
      <c r="B39" s="558" t="s">
        <v>44</v>
      </c>
      <c r="C39" s="558"/>
      <c r="D39" s="243">
        <v>0</v>
      </c>
      <c r="E39" s="243">
        <v>0</v>
      </c>
      <c r="G39" s="238"/>
      <c r="H39" s="251"/>
      <c r="I39" s="250"/>
      <c r="J39" s="250"/>
      <c r="K39" s="233"/>
    </row>
    <row r="40" spans="1:11">
      <c r="A40" s="234"/>
      <c r="B40" s="244"/>
      <c r="C40" s="245"/>
      <c r="D40" s="246"/>
      <c r="E40" s="246"/>
      <c r="G40" s="560" t="s">
        <v>192</v>
      </c>
      <c r="H40" s="560"/>
      <c r="I40" s="248">
        <f>I27+I38</f>
        <v>84256</v>
      </c>
      <c r="J40" s="248">
        <f>J27+J38</f>
        <v>21367</v>
      </c>
      <c r="K40" s="233"/>
    </row>
    <row r="41" spans="1:11">
      <c r="A41" s="247"/>
      <c r="B41" s="560" t="s">
        <v>46</v>
      </c>
      <c r="C41" s="560"/>
      <c r="D41" s="248">
        <f>SUM(D31:D39)</f>
        <v>4621753</v>
      </c>
      <c r="E41" s="248">
        <f>SUM(E31:E39)</f>
        <v>4611759</v>
      </c>
      <c r="F41" s="249"/>
      <c r="G41" s="238"/>
      <c r="H41" s="253"/>
      <c r="I41" s="250"/>
      <c r="J41" s="250"/>
      <c r="K41" s="233"/>
    </row>
    <row r="42" spans="1:11">
      <c r="A42" s="234"/>
      <c r="B42" s="244"/>
      <c r="C42" s="238"/>
      <c r="D42" s="246"/>
      <c r="E42" s="246"/>
      <c r="G42" s="559" t="s">
        <v>47</v>
      </c>
      <c r="H42" s="559"/>
      <c r="I42" s="246"/>
      <c r="J42" s="246"/>
      <c r="K42" s="233"/>
    </row>
    <row r="43" spans="1:11">
      <c r="A43" s="234"/>
      <c r="B43" s="560" t="s">
        <v>193</v>
      </c>
      <c r="C43" s="560"/>
      <c r="D43" s="248">
        <f>D26+D41</f>
        <v>5962715</v>
      </c>
      <c r="E43" s="248">
        <f>E26+E41</f>
        <v>5791829</v>
      </c>
      <c r="G43" s="238"/>
      <c r="H43" s="253"/>
      <c r="I43" s="246"/>
      <c r="J43" s="246"/>
      <c r="K43" s="233"/>
    </row>
    <row r="44" spans="1:11">
      <c r="A44" s="234"/>
      <c r="B44" s="244"/>
      <c r="C44" s="244"/>
      <c r="D44" s="246"/>
      <c r="E44" s="246"/>
      <c r="G44" s="560" t="s">
        <v>49</v>
      </c>
      <c r="H44" s="560"/>
      <c r="I44" s="248">
        <f>SUM(I46:I48)</f>
        <v>0</v>
      </c>
      <c r="J44" s="248">
        <f>SUM(J46:J48)</f>
        <v>0</v>
      </c>
      <c r="K44" s="233"/>
    </row>
    <row r="45" spans="1:11">
      <c r="A45" s="234"/>
      <c r="B45" s="244"/>
      <c r="C45" s="244"/>
      <c r="D45" s="246"/>
      <c r="E45" s="246"/>
      <c r="G45" s="244"/>
      <c r="H45" s="236"/>
      <c r="I45" s="246"/>
      <c r="J45" s="246"/>
      <c r="K45" s="233"/>
    </row>
    <row r="46" spans="1:11">
      <c r="A46" s="234"/>
      <c r="B46" s="244"/>
      <c r="C46" s="244"/>
      <c r="D46" s="246"/>
      <c r="E46" s="246"/>
      <c r="G46" s="558" t="s">
        <v>50</v>
      </c>
      <c r="H46" s="558"/>
      <c r="I46" s="243">
        <v>0</v>
      </c>
      <c r="J46" s="243">
        <v>0</v>
      </c>
      <c r="K46" s="233"/>
    </row>
    <row r="47" spans="1:11">
      <c r="A47" s="234"/>
      <c r="B47" s="244"/>
      <c r="C47" s="562" t="s">
        <v>79</v>
      </c>
      <c r="D47" s="562"/>
      <c r="E47" s="246"/>
      <c r="G47" s="558" t="s">
        <v>51</v>
      </c>
      <c r="H47" s="558"/>
      <c r="I47" s="243">
        <v>0</v>
      </c>
      <c r="J47" s="243">
        <v>0</v>
      </c>
      <c r="K47" s="233"/>
    </row>
    <row r="48" spans="1:11">
      <c r="A48" s="234"/>
      <c r="B48" s="244"/>
      <c r="C48" s="562"/>
      <c r="D48" s="562"/>
      <c r="E48" s="246"/>
      <c r="G48" s="558" t="s">
        <v>52</v>
      </c>
      <c r="H48" s="558"/>
      <c r="I48" s="243">
        <v>0</v>
      </c>
      <c r="J48" s="243">
        <v>0</v>
      </c>
      <c r="K48" s="233"/>
    </row>
    <row r="49" spans="1:13">
      <c r="A49" s="234"/>
      <c r="B49" s="244"/>
      <c r="C49" s="562"/>
      <c r="D49" s="562"/>
      <c r="E49" s="246"/>
      <c r="G49" s="244"/>
      <c r="H49" s="236"/>
      <c r="I49" s="246"/>
      <c r="J49" s="246"/>
      <c r="K49" s="233"/>
    </row>
    <row r="50" spans="1:13">
      <c r="A50" s="234"/>
      <c r="B50" s="244"/>
      <c r="C50" s="562"/>
      <c r="D50" s="562"/>
      <c r="E50" s="246"/>
      <c r="G50" s="560" t="s">
        <v>53</v>
      </c>
      <c r="H50" s="560"/>
      <c r="I50" s="248">
        <f>SUM(I52:I56)</f>
        <v>5878459</v>
      </c>
      <c r="J50" s="248">
        <f>SUM(J52:J56)</f>
        <v>5770462</v>
      </c>
      <c r="K50" s="233"/>
    </row>
    <row r="51" spans="1:13">
      <c r="A51" s="234"/>
      <c r="B51" s="244"/>
      <c r="C51" s="562"/>
      <c r="D51" s="562"/>
      <c r="E51" s="246"/>
      <c r="G51" s="238"/>
      <c r="H51" s="236"/>
      <c r="I51" s="254"/>
      <c r="J51" s="254"/>
      <c r="K51" s="233"/>
    </row>
    <row r="52" spans="1:13">
      <c r="A52" s="234"/>
      <c r="B52" s="244"/>
      <c r="C52" s="562"/>
      <c r="D52" s="562"/>
      <c r="E52" s="246"/>
      <c r="G52" s="558" t="s">
        <v>54</v>
      </c>
      <c r="H52" s="558"/>
      <c r="I52" s="243">
        <f>+EA!I53</f>
        <v>185492</v>
      </c>
      <c r="J52" s="243">
        <f>+EA!J53</f>
        <v>811109</v>
      </c>
      <c r="K52" s="233"/>
    </row>
    <row r="53" spans="1:13">
      <c r="A53" s="234"/>
      <c r="B53" s="244"/>
      <c r="C53" s="562"/>
      <c r="D53" s="562"/>
      <c r="E53" s="246"/>
      <c r="G53" s="558" t="s">
        <v>55</v>
      </c>
      <c r="H53" s="558"/>
      <c r="I53" s="243">
        <v>1083208</v>
      </c>
      <c r="J53" s="243">
        <v>349594</v>
      </c>
      <c r="K53" s="233"/>
    </row>
    <row r="54" spans="1:13">
      <c r="A54" s="234"/>
      <c r="B54" s="244"/>
      <c r="C54" s="562"/>
      <c r="D54" s="562"/>
      <c r="E54" s="246"/>
      <c r="G54" s="558" t="s">
        <v>56</v>
      </c>
      <c r="H54" s="558"/>
      <c r="I54" s="243">
        <v>0</v>
      </c>
      <c r="J54" s="243">
        <v>0</v>
      </c>
      <c r="K54" s="233"/>
    </row>
    <row r="55" spans="1:13">
      <c r="A55" s="234"/>
      <c r="B55" s="244"/>
      <c r="C55" s="244"/>
      <c r="D55" s="246"/>
      <c r="E55" s="246"/>
      <c r="G55" s="558" t="s">
        <v>57</v>
      </c>
      <c r="H55" s="558"/>
      <c r="I55" s="243">
        <v>0</v>
      </c>
      <c r="J55" s="243">
        <v>0</v>
      </c>
      <c r="K55" s="233"/>
    </row>
    <row r="56" spans="1:13">
      <c r="A56" s="234"/>
      <c r="B56" s="244"/>
      <c r="C56" s="244"/>
      <c r="D56" s="246"/>
      <c r="E56" s="246"/>
      <c r="G56" s="558" t="s">
        <v>58</v>
      </c>
      <c r="H56" s="558"/>
      <c r="I56" s="243">
        <v>4609759</v>
      </c>
      <c r="J56" s="243">
        <v>4609759</v>
      </c>
      <c r="K56" s="233"/>
    </row>
    <row r="57" spans="1:13">
      <c r="A57" s="234"/>
      <c r="B57" s="244"/>
      <c r="C57" s="244"/>
      <c r="D57" s="246"/>
      <c r="E57" s="246"/>
      <c r="G57" s="244"/>
      <c r="H57" s="236"/>
      <c r="I57" s="246"/>
      <c r="J57" s="246"/>
      <c r="K57" s="233"/>
    </row>
    <row r="58" spans="1:13" ht="25.5" customHeight="1">
      <c r="A58" s="234"/>
      <c r="B58" s="244"/>
      <c r="C58" s="244"/>
      <c r="D58" s="246"/>
      <c r="E58" s="246"/>
      <c r="G58" s="560" t="s">
        <v>59</v>
      </c>
      <c r="H58" s="560"/>
      <c r="I58" s="248">
        <f>SUM(I60:I61)</f>
        <v>0</v>
      </c>
      <c r="J58" s="248">
        <f>SUM(J60:J61)</f>
        <v>0</v>
      </c>
      <c r="K58" s="233"/>
      <c r="M58" s="441"/>
    </row>
    <row r="59" spans="1:13">
      <c r="A59" s="234"/>
      <c r="B59" s="244"/>
      <c r="C59" s="244"/>
      <c r="D59" s="246"/>
      <c r="E59" s="246"/>
      <c r="G59" s="244"/>
      <c r="H59" s="236"/>
      <c r="I59" s="246"/>
      <c r="J59" s="246"/>
      <c r="K59" s="233"/>
    </row>
    <row r="60" spans="1:13">
      <c r="A60" s="234"/>
      <c r="B60" s="244"/>
      <c r="C60" s="244"/>
      <c r="D60" s="246"/>
      <c r="E60" s="246"/>
      <c r="G60" s="558" t="s">
        <v>60</v>
      </c>
      <c r="H60" s="558"/>
      <c r="I60" s="243">
        <v>0</v>
      </c>
      <c r="J60" s="243">
        <v>0</v>
      </c>
      <c r="K60" s="233"/>
      <c r="M60" s="441"/>
    </row>
    <row r="61" spans="1:13">
      <c r="A61" s="234"/>
      <c r="B61" s="244"/>
      <c r="C61" s="244"/>
      <c r="D61" s="246"/>
      <c r="E61" s="246"/>
      <c r="G61" s="558" t="s">
        <v>61</v>
      </c>
      <c r="H61" s="558"/>
      <c r="I61" s="243">
        <v>0</v>
      </c>
      <c r="J61" s="243">
        <v>0</v>
      </c>
      <c r="K61" s="233"/>
    </row>
    <row r="62" spans="1:13" ht="9.9499999999999993" customHeight="1">
      <c r="A62" s="234"/>
      <c r="B62" s="244"/>
      <c r="C62" s="244"/>
      <c r="D62" s="246"/>
      <c r="E62" s="246"/>
      <c r="G62" s="244"/>
      <c r="H62" s="255"/>
      <c r="I62" s="246"/>
      <c r="J62" s="246"/>
      <c r="K62" s="233"/>
    </row>
    <row r="63" spans="1:13">
      <c r="A63" s="234"/>
      <c r="B63" s="244"/>
      <c r="C63" s="244"/>
      <c r="D63" s="246"/>
      <c r="E63" s="246"/>
      <c r="G63" s="560" t="s">
        <v>62</v>
      </c>
      <c r="H63" s="560"/>
      <c r="I63" s="248">
        <f>I44+I50+I58</f>
        <v>5878459</v>
      </c>
      <c r="J63" s="248">
        <f>J44+J50+J58</f>
        <v>5770462</v>
      </c>
      <c r="K63" s="233"/>
    </row>
    <row r="64" spans="1:13" ht="9.9499999999999993" customHeight="1">
      <c r="A64" s="234"/>
      <c r="B64" s="244"/>
      <c r="C64" s="244"/>
      <c r="D64" s="246"/>
      <c r="E64" s="246"/>
      <c r="G64" s="244"/>
      <c r="H64" s="236"/>
      <c r="I64" s="246"/>
      <c r="J64" s="246"/>
      <c r="K64" s="233"/>
    </row>
    <row r="65" spans="1:11">
      <c r="A65" s="234"/>
      <c r="B65" s="244"/>
      <c r="C65" s="244"/>
      <c r="D65" s="246"/>
      <c r="E65" s="246"/>
      <c r="G65" s="560" t="s">
        <v>194</v>
      </c>
      <c r="H65" s="560"/>
      <c r="I65" s="248">
        <f>I40+I63</f>
        <v>5962715</v>
      </c>
      <c r="J65" s="248">
        <f>J40+J63</f>
        <v>5791829</v>
      </c>
      <c r="K65" s="233"/>
    </row>
    <row r="66" spans="1:11" ht="6" customHeight="1">
      <c r="A66" s="256"/>
      <c r="B66" s="257"/>
      <c r="C66" s="257"/>
      <c r="D66" s="257"/>
      <c r="E66" s="257"/>
      <c r="F66" s="258"/>
      <c r="G66" s="257"/>
      <c r="H66" s="257"/>
      <c r="I66" s="257"/>
      <c r="J66" s="257"/>
      <c r="K66" s="259"/>
    </row>
    <row r="67" spans="1:11" ht="6" customHeight="1">
      <c r="B67" s="236"/>
      <c r="C67" s="260"/>
      <c r="D67" s="261"/>
      <c r="E67" s="261"/>
      <c r="G67" s="262"/>
      <c r="H67" s="260"/>
      <c r="I67" s="261"/>
      <c r="J67" s="261"/>
    </row>
    <row r="68" spans="1:11" ht="6" customHeight="1">
      <c r="A68" s="263"/>
      <c r="B68" s="264"/>
      <c r="C68" s="265"/>
      <c r="D68" s="266"/>
      <c r="E68" s="266"/>
      <c r="F68" s="258"/>
      <c r="G68" s="267"/>
      <c r="H68" s="265"/>
      <c r="I68" s="266"/>
      <c r="J68" s="266"/>
    </row>
    <row r="69" spans="1:11" ht="6" customHeight="1">
      <c r="B69" s="236"/>
      <c r="C69" s="260"/>
      <c r="D69" s="261"/>
      <c r="E69" s="261"/>
      <c r="G69" s="262"/>
      <c r="H69" s="260"/>
      <c r="I69" s="261"/>
      <c r="J69" s="261"/>
    </row>
    <row r="70" spans="1:11" ht="15" customHeight="1">
      <c r="B70" s="565" t="s">
        <v>78</v>
      </c>
      <c r="C70" s="565"/>
      <c r="D70" s="565"/>
      <c r="E70" s="565"/>
      <c r="F70" s="565"/>
      <c r="G70" s="565"/>
      <c r="H70" s="565"/>
      <c r="I70" s="565"/>
      <c r="J70" s="565"/>
    </row>
    <row r="71" spans="1:11" ht="9.75" customHeight="1">
      <c r="B71" s="236"/>
      <c r="C71" s="260"/>
      <c r="D71" s="261"/>
      <c r="E71" s="261"/>
      <c r="G71" s="262"/>
      <c r="H71" s="260"/>
      <c r="I71" s="261"/>
      <c r="J71" s="261"/>
    </row>
    <row r="72" spans="1:11" ht="50.1" customHeight="1">
      <c r="B72" s="236"/>
      <c r="C72" s="564"/>
      <c r="D72" s="564"/>
      <c r="E72" s="261"/>
      <c r="G72" s="563"/>
      <c r="H72" s="563"/>
      <c r="I72" s="261"/>
      <c r="J72" s="261"/>
    </row>
    <row r="73" spans="1:11">
      <c r="B73" s="268"/>
      <c r="C73" s="543" t="s">
        <v>1011</v>
      </c>
      <c r="D73" s="543"/>
      <c r="E73" s="261"/>
      <c r="F73" s="269"/>
      <c r="G73" s="543" t="s">
        <v>1011</v>
      </c>
      <c r="H73" s="543"/>
      <c r="I73" s="237"/>
      <c r="J73" s="261"/>
    </row>
    <row r="74" spans="1:11" ht="27.75" customHeight="1">
      <c r="B74" s="270"/>
      <c r="C74" s="538" t="s">
        <v>1012</v>
      </c>
      <c r="D74" s="538"/>
      <c r="E74" s="271"/>
      <c r="F74" s="269"/>
      <c r="G74" s="538" t="s">
        <v>1012</v>
      </c>
      <c r="H74" s="538"/>
      <c r="I74" s="237"/>
      <c r="J74" s="261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L6" sqref="L6"/>
    </sheetView>
  </sheetViews>
  <sheetFormatPr baseColWidth="10" defaultRowHeight="12"/>
  <cols>
    <col min="1" max="1" width="3.140625" style="169" customWidth="1"/>
    <col min="2" max="2" width="46.5703125" style="169" customWidth="1"/>
    <col min="3" max="3" width="19.85546875" style="169" customWidth="1"/>
    <col min="4" max="4" width="19.7109375" style="169" customWidth="1"/>
    <col min="5" max="5" width="5.140625" style="170" customWidth="1"/>
    <col min="6" max="16384" width="11.42578125" style="169"/>
  </cols>
  <sheetData>
    <row r="1" spans="1:4" ht="12.75" thickBot="1">
      <c r="A1" s="170"/>
      <c r="B1" s="170"/>
      <c r="C1" s="170"/>
      <c r="D1" s="170"/>
    </row>
    <row r="2" spans="1:4">
      <c r="A2" s="170"/>
      <c r="B2" s="698" t="s">
        <v>1018</v>
      </c>
      <c r="C2" s="699"/>
      <c r="D2" s="700"/>
    </row>
    <row r="3" spans="1:4">
      <c r="A3" s="170"/>
      <c r="B3" s="701" t="s">
        <v>408</v>
      </c>
      <c r="C3" s="702"/>
      <c r="D3" s="703"/>
    </row>
    <row r="4" spans="1:4" ht="15.75" customHeight="1" thickBot="1">
      <c r="A4" s="170"/>
      <c r="B4" s="704" t="s">
        <v>396</v>
      </c>
      <c r="C4" s="705"/>
      <c r="D4" s="706"/>
    </row>
    <row r="5" spans="1:4">
      <c r="A5" s="170"/>
      <c r="B5" s="707" t="s">
        <v>397</v>
      </c>
      <c r="C5" s="709" t="s">
        <v>398</v>
      </c>
      <c r="D5" s="710"/>
    </row>
    <row r="6" spans="1:4" ht="12.75" thickBot="1">
      <c r="A6" s="170"/>
      <c r="B6" s="708"/>
      <c r="C6" s="435" t="s">
        <v>399</v>
      </c>
      <c r="D6" s="436" t="s">
        <v>400</v>
      </c>
    </row>
    <row r="7" spans="1:4">
      <c r="A7" s="170"/>
      <c r="B7" s="440"/>
      <c r="C7" s="437">
        <v>0</v>
      </c>
      <c r="D7" s="437">
        <v>0</v>
      </c>
    </row>
    <row r="8" spans="1:4">
      <c r="A8" s="170"/>
      <c r="B8" s="438"/>
      <c r="C8" s="438"/>
      <c r="D8" s="438"/>
    </row>
    <row r="9" spans="1:4">
      <c r="A9" s="170"/>
      <c r="B9" s="438"/>
      <c r="C9" s="438"/>
      <c r="D9" s="438"/>
    </row>
    <row r="10" spans="1:4">
      <c r="A10" s="170"/>
      <c r="B10" s="438"/>
      <c r="C10" s="438"/>
      <c r="D10" s="438"/>
    </row>
    <row r="11" spans="1:4">
      <c r="A11" s="170"/>
      <c r="B11" s="438"/>
      <c r="C11" s="438"/>
      <c r="D11" s="438"/>
    </row>
    <row r="12" spans="1:4">
      <c r="A12" s="170"/>
      <c r="B12" s="438"/>
      <c r="C12" s="438"/>
      <c r="D12" s="438"/>
    </row>
    <row r="13" spans="1:4">
      <c r="A13" s="170"/>
      <c r="B13" s="438"/>
      <c r="C13" s="438"/>
      <c r="D13" s="438"/>
    </row>
    <row r="14" spans="1:4">
      <c r="A14" s="170"/>
      <c r="B14" s="438"/>
      <c r="C14" s="438"/>
      <c r="D14" s="438"/>
    </row>
    <row r="15" spans="1:4">
      <c r="A15" s="170"/>
      <c r="B15" s="438"/>
      <c r="C15" s="438"/>
      <c r="D15" s="438"/>
    </row>
    <row r="16" spans="1:4">
      <c r="A16" s="170"/>
      <c r="B16" s="439"/>
      <c r="C16" s="439"/>
      <c r="D16" s="439"/>
    </row>
    <row r="17" spans="1:4">
      <c r="A17" s="170"/>
      <c r="B17" s="439"/>
      <c r="C17" s="439"/>
      <c r="D17" s="439"/>
    </row>
    <row r="18" spans="1:4">
      <c r="A18" s="170"/>
      <c r="B18" s="439"/>
      <c r="C18" s="439"/>
      <c r="D18" s="439"/>
    </row>
    <row r="19" spans="1:4">
      <c r="A19" s="170"/>
      <c r="B19" s="170"/>
      <c r="C19" s="170"/>
      <c r="D19" s="170"/>
    </row>
    <row r="20" spans="1:4">
      <c r="A20" s="170"/>
      <c r="B20" s="170"/>
      <c r="C20" s="170"/>
      <c r="D20" s="17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A22" zoomScaleNormal="100" zoomScalePageLayoutView="80" workbookViewId="0">
      <selection activeCell="I51" sqref="I51"/>
    </sheetView>
  </sheetViews>
  <sheetFormatPr baseColWidth="10" defaultRowHeight="12"/>
  <cols>
    <col min="1" max="1" width="4.5703125" style="170" customWidth="1"/>
    <col min="2" max="2" width="24.7109375" style="170" customWidth="1"/>
    <col min="3" max="3" width="40" style="170" customWidth="1"/>
    <col min="4" max="4" width="9" style="170" customWidth="1"/>
    <col min="5" max="5" width="9.42578125" style="170" bestFit="1" customWidth="1"/>
    <col min="6" max="6" width="10.7109375" style="170" customWidth="1"/>
    <col min="7" max="7" width="24.7109375" style="170" customWidth="1"/>
    <col min="8" max="8" width="29.7109375" style="279" customWidth="1"/>
    <col min="9" max="9" width="8.85546875" style="170" bestFit="1" customWidth="1"/>
    <col min="10" max="10" width="9.42578125" style="170" bestFit="1" customWidth="1"/>
    <col min="11" max="11" width="4.5703125" style="170" customWidth="1"/>
    <col min="12" max="16384" width="11.42578125" style="170"/>
  </cols>
  <sheetData>
    <row r="1" spans="1:11" ht="6" customHeight="1">
      <c r="A1" s="190"/>
      <c r="B1" s="184"/>
      <c r="C1" s="272"/>
      <c r="D1" s="215"/>
      <c r="E1" s="215"/>
      <c r="F1" s="272"/>
      <c r="G1" s="272"/>
      <c r="H1" s="273"/>
      <c r="I1" s="184"/>
      <c r="J1" s="184"/>
      <c r="K1" s="184"/>
    </row>
    <row r="2" spans="1:11" s="218" customFormat="1" ht="6" customHeight="1">
      <c r="C2" s="219"/>
      <c r="H2" s="274"/>
    </row>
    <row r="3" spans="1:11" ht="14.1" customHeight="1">
      <c r="A3" s="275"/>
      <c r="C3" s="570" t="s">
        <v>1018</v>
      </c>
      <c r="D3" s="570"/>
      <c r="E3" s="570"/>
      <c r="F3" s="570"/>
      <c r="G3" s="570"/>
      <c r="H3" s="570"/>
      <c r="I3" s="570"/>
      <c r="J3" s="276"/>
      <c r="K3" s="276"/>
    </row>
    <row r="4" spans="1:11" ht="14.1" customHeight="1">
      <c r="A4" s="277"/>
      <c r="C4" s="570" t="s">
        <v>66</v>
      </c>
      <c r="D4" s="570"/>
      <c r="E4" s="570"/>
      <c r="F4" s="570"/>
      <c r="G4" s="570"/>
      <c r="H4" s="570"/>
      <c r="I4" s="570"/>
      <c r="J4" s="277"/>
      <c r="K4" s="277"/>
    </row>
    <row r="5" spans="1:11" ht="14.1" customHeight="1">
      <c r="A5" s="278"/>
      <c r="C5" s="570" t="s">
        <v>1017</v>
      </c>
      <c r="D5" s="570"/>
      <c r="E5" s="570"/>
      <c r="F5" s="570"/>
      <c r="G5" s="570"/>
      <c r="H5" s="570"/>
      <c r="I5" s="570"/>
      <c r="J5" s="277"/>
      <c r="K5" s="277"/>
    </row>
    <row r="6" spans="1:11" ht="14.1" customHeight="1">
      <c r="A6" s="278"/>
      <c r="C6" s="570" t="s">
        <v>1</v>
      </c>
      <c r="D6" s="570"/>
      <c r="E6" s="570"/>
      <c r="F6" s="570"/>
      <c r="G6" s="570"/>
      <c r="H6" s="570"/>
      <c r="I6" s="570"/>
      <c r="J6" s="277"/>
      <c r="K6" s="277"/>
    </row>
    <row r="7" spans="1:11" ht="20.100000000000001" customHeight="1">
      <c r="A7" s="278"/>
      <c r="B7" s="224" t="s">
        <v>4</v>
      </c>
      <c r="C7" s="551" t="s">
        <v>1010</v>
      </c>
      <c r="D7" s="551"/>
      <c r="E7" s="551"/>
      <c r="F7" s="551"/>
      <c r="G7" s="551"/>
      <c r="H7" s="551"/>
      <c r="I7" s="551"/>
      <c r="J7" s="551"/>
    </row>
    <row r="8" spans="1:11" ht="3" customHeight="1">
      <c r="A8" s="276"/>
      <c r="B8" s="276"/>
      <c r="C8" s="276"/>
      <c r="D8" s="276"/>
      <c r="E8" s="276"/>
      <c r="F8" s="276"/>
    </row>
    <row r="9" spans="1:11" s="218" customFormat="1" ht="3" customHeight="1">
      <c r="A9" s="278"/>
      <c r="B9" s="280"/>
      <c r="C9" s="280"/>
      <c r="D9" s="280"/>
      <c r="E9" s="280"/>
      <c r="F9" s="281"/>
      <c r="H9" s="274"/>
    </row>
    <row r="10" spans="1:11" s="218" customFormat="1" ht="3" customHeight="1">
      <c r="A10" s="282"/>
      <c r="B10" s="282"/>
      <c r="C10" s="282"/>
      <c r="D10" s="283"/>
      <c r="E10" s="283"/>
      <c r="F10" s="284"/>
      <c r="H10" s="274"/>
    </row>
    <row r="11" spans="1:11" s="218" customFormat="1" ht="20.100000000000001" customHeight="1">
      <c r="A11" s="285"/>
      <c r="B11" s="569" t="s">
        <v>76</v>
      </c>
      <c r="C11" s="569"/>
      <c r="D11" s="286" t="s">
        <v>67</v>
      </c>
      <c r="E11" s="286" t="s">
        <v>68</v>
      </c>
      <c r="F11" s="287"/>
      <c r="G11" s="569" t="s">
        <v>76</v>
      </c>
      <c r="H11" s="569"/>
      <c r="I11" s="286" t="s">
        <v>67</v>
      </c>
      <c r="J11" s="286" t="s">
        <v>68</v>
      </c>
      <c r="K11" s="288"/>
    </row>
    <row r="12" spans="1:11" ht="3" customHeight="1">
      <c r="A12" s="289"/>
      <c r="B12" s="290"/>
      <c r="C12" s="290"/>
      <c r="D12" s="291"/>
      <c r="E12" s="291"/>
      <c r="F12" s="275"/>
      <c r="G12" s="218"/>
      <c r="H12" s="274"/>
      <c r="I12" s="218"/>
      <c r="J12" s="218"/>
      <c r="K12" s="233"/>
    </row>
    <row r="13" spans="1:11" s="218" customFormat="1" ht="3" customHeight="1">
      <c r="A13" s="234"/>
      <c r="B13" s="292"/>
      <c r="C13" s="292"/>
      <c r="D13" s="293"/>
      <c r="E13" s="293"/>
      <c r="F13" s="219"/>
      <c r="H13" s="274"/>
      <c r="K13" s="233"/>
    </row>
    <row r="14" spans="1:11">
      <c r="A14" s="294"/>
      <c r="B14" s="559" t="s">
        <v>6</v>
      </c>
      <c r="C14" s="559"/>
      <c r="D14" s="295">
        <f>D16+D26</f>
        <v>0</v>
      </c>
      <c r="E14" s="295">
        <f>E16+E26</f>
        <v>5962715</v>
      </c>
      <c r="F14" s="219"/>
      <c r="G14" s="559" t="s">
        <v>7</v>
      </c>
      <c r="H14" s="559"/>
      <c r="I14" s="295">
        <f>I16+I27</f>
        <v>84256</v>
      </c>
      <c r="J14" s="295">
        <f>J16+J27</f>
        <v>0</v>
      </c>
      <c r="K14" s="233"/>
    </row>
    <row r="15" spans="1:11">
      <c r="A15" s="296"/>
      <c r="B15" s="238"/>
      <c r="C15" s="237"/>
      <c r="D15" s="297"/>
      <c r="E15" s="297"/>
      <c r="F15" s="219"/>
      <c r="G15" s="238"/>
      <c r="H15" s="238"/>
      <c r="I15" s="297"/>
      <c r="J15" s="297"/>
      <c r="K15" s="233"/>
    </row>
    <row r="16" spans="1:11">
      <c r="A16" s="296"/>
      <c r="B16" s="559" t="s">
        <v>8</v>
      </c>
      <c r="C16" s="559"/>
      <c r="D16" s="295">
        <f>SUM(D18:D24)</f>
        <v>0</v>
      </c>
      <c r="E16" s="295">
        <f>SUM(E18:E24)</f>
        <v>1340962</v>
      </c>
      <c r="F16" s="219"/>
      <c r="G16" s="559" t="s">
        <v>9</v>
      </c>
      <c r="H16" s="559"/>
      <c r="I16" s="295">
        <f>SUM(I18:I25)</f>
        <v>84256</v>
      </c>
      <c r="J16" s="295">
        <f>SUM(J18:J25)</f>
        <v>0</v>
      </c>
      <c r="K16" s="233"/>
    </row>
    <row r="17" spans="1:11">
      <c r="A17" s="296"/>
      <c r="B17" s="238"/>
      <c r="C17" s="237"/>
      <c r="D17" s="297"/>
      <c r="E17" s="297"/>
      <c r="F17" s="219"/>
      <c r="G17" s="238"/>
      <c r="H17" s="238"/>
      <c r="I17" s="297"/>
      <c r="J17" s="297"/>
      <c r="K17" s="233"/>
    </row>
    <row r="18" spans="1:11">
      <c r="A18" s="294"/>
      <c r="B18" s="558" t="s">
        <v>10</v>
      </c>
      <c r="C18" s="558"/>
      <c r="D18" s="298">
        <f>IF(ESF!D18&lt;ESF!E18,ESF!E18-ESF!D18,0)</f>
        <v>0</v>
      </c>
      <c r="E18" s="298">
        <v>1339635</v>
      </c>
      <c r="F18" s="219"/>
      <c r="G18" s="558" t="s">
        <v>11</v>
      </c>
      <c r="H18" s="558"/>
      <c r="I18" s="298">
        <v>84256</v>
      </c>
      <c r="J18" s="298">
        <f>IF(I18&gt;0,0,ESF!J18-ESF!I18)</f>
        <v>0</v>
      </c>
      <c r="K18" s="233"/>
    </row>
    <row r="19" spans="1:11">
      <c r="A19" s="294"/>
      <c r="B19" s="558" t="s">
        <v>12</v>
      </c>
      <c r="C19" s="558"/>
      <c r="D19" s="298">
        <f>IF(ESF!D19&lt;ESF!E19,ESF!E19-ESF!D19,0)</f>
        <v>0</v>
      </c>
      <c r="E19" s="298">
        <v>1327</v>
      </c>
      <c r="F19" s="219"/>
      <c r="G19" s="558" t="s">
        <v>13</v>
      </c>
      <c r="H19" s="558"/>
      <c r="I19" s="298">
        <f>IF(ESF!I19&gt;ESF!J19,ESF!I19-ESF!J19,0)</f>
        <v>0</v>
      </c>
      <c r="J19" s="298">
        <f>IF(I19&gt;0,0,ESF!J19-ESF!I19)</f>
        <v>0</v>
      </c>
      <c r="K19" s="233"/>
    </row>
    <row r="20" spans="1:11">
      <c r="A20" s="294"/>
      <c r="B20" s="558" t="s">
        <v>14</v>
      </c>
      <c r="C20" s="558"/>
      <c r="D20" s="298">
        <f>IF(ESF!D20&lt;ESF!E20,ESF!E20-ESF!D20,0)</f>
        <v>0</v>
      </c>
      <c r="E20" s="298">
        <f>IF(D20&gt;0,0,ESF!D20-ESF!E20)</f>
        <v>0</v>
      </c>
      <c r="F20" s="219"/>
      <c r="G20" s="558" t="s">
        <v>15</v>
      </c>
      <c r="H20" s="558"/>
      <c r="I20" s="298">
        <f>IF(ESF!I20&gt;ESF!J20,ESF!I20-ESF!J20,0)</f>
        <v>0</v>
      </c>
      <c r="J20" s="298">
        <f>IF(I20&gt;0,0,ESF!J20-ESF!I20)</f>
        <v>0</v>
      </c>
      <c r="K20" s="233"/>
    </row>
    <row r="21" spans="1:11">
      <c r="A21" s="294"/>
      <c r="B21" s="558" t="s">
        <v>16</v>
      </c>
      <c r="C21" s="558"/>
      <c r="D21" s="298">
        <f>IF(ESF!D21&lt;ESF!E21,ESF!E21-ESF!D21,0)</f>
        <v>0</v>
      </c>
      <c r="E21" s="298">
        <f>IF(D21&gt;0,0,ESF!D21-ESF!E21)</f>
        <v>0</v>
      </c>
      <c r="F21" s="219"/>
      <c r="G21" s="558" t="s">
        <v>17</v>
      </c>
      <c r="H21" s="558"/>
      <c r="I21" s="298">
        <f>IF(ESF!I21&gt;ESF!J21,ESF!I21-ESF!J21,0)</f>
        <v>0</v>
      </c>
      <c r="J21" s="298">
        <f>IF(I21&gt;0,0,ESF!J21-ESF!I21)</f>
        <v>0</v>
      </c>
      <c r="K21" s="233"/>
    </row>
    <row r="22" spans="1:11">
      <c r="A22" s="294"/>
      <c r="B22" s="558" t="s">
        <v>18</v>
      </c>
      <c r="C22" s="558"/>
      <c r="D22" s="298">
        <f>IF(ESF!D22&lt;ESF!E22,ESF!E22-ESF!D22,0)</f>
        <v>0</v>
      </c>
      <c r="E22" s="298">
        <f>IF(D22&gt;0,0,ESF!D22-ESF!E22)</f>
        <v>0</v>
      </c>
      <c r="F22" s="219"/>
      <c r="G22" s="558" t="s">
        <v>19</v>
      </c>
      <c r="H22" s="558"/>
      <c r="I22" s="298">
        <f>IF(ESF!I22&gt;ESF!J22,ESF!I22-ESF!J22,0)</f>
        <v>0</v>
      </c>
      <c r="J22" s="298">
        <f>IF(I22&gt;0,0,ESF!J22-ESF!I22)</f>
        <v>0</v>
      </c>
      <c r="K22" s="233"/>
    </row>
    <row r="23" spans="1:11" ht="25.5" customHeight="1">
      <c r="A23" s="294"/>
      <c r="B23" s="558" t="s">
        <v>20</v>
      </c>
      <c r="C23" s="558"/>
      <c r="D23" s="298">
        <f>IF(ESF!D23&lt;ESF!E23,ESF!E23-ESF!D23,0)</f>
        <v>0</v>
      </c>
      <c r="E23" s="298">
        <f>IF(D23&gt;0,0,ESF!D23-ESF!E23)</f>
        <v>0</v>
      </c>
      <c r="F23" s="219"/>
      <c r="G23" s="561" t="s">
        <v>21</v>
      </c>
      <c r="H23" s="561"/>
      <c r="I23" s="298">
        <f>IF(ESF!I23&gt;ESF!J23,ESF!I23-ESF!J23,0)</f>
        <v>0</v>
      </c>
      <c r="J23" s="298">
        <f>IF(I23&gt;0,0,ESF!J23-ESF!I23)</f>
        <v>0</v>
      </c>
      <c r="K23" s="233"/>
    </row>
    <row r="24" spans="1:11">
      <c r="A24" s="294"/>
      <c r="B24" s="558" t="s">
        <v>22</v>
      </c>
      <c r="C24" s="558"/>
      <c r="D24" s="298">
        <f>IF(ESF!D24&lt;ESF!E24,ESF!E24-ESF!D24,0)</f>
        <v>0</v>
      </c>
      <c r="E24" s="298">
        <f>IF(D24&gt;0,0,ESF!D24-ESF!E24)</f>
        <v>0</v>
      </c>
      <c r="F24" s="219"/>
      <c r="G24" s="558" t="s">
        <v>23</v>
      </c>
      <c r="H24" s="558"/>
      <c r="I24" s="298">
        <f>IF(ESF!I24&gt;ESF!J24,ESF!I24-ESF!J24,0)</f>
        <v>0</v>
      </c>
      <c r="J24" s="298">
        <f>IF(I24&gt;0,0,ESF!J24-ESF!I24)</f>
        <v>0</v>
      </c>
      <c r="K24" s="233"/>
    </row>
    <row r="25" spans="1:11">
      <c r="A25" s="296"/>
      <c r="B25" s="238"/>
      <c r="C25" s="237"/>
      <c r="D25" s="297"/>
      <c r="E25" s="297"/>
      <c r="F25" s="219"/>
      <c r="G25" s="558" t="s">
        <v>24</v>
      </c>
      <c r="H25" s="558"/>
      <c r="I25" s="298">
        <f>IF(ESF!I25&gt;ESF!J25,ESF!I25-ESF!J25,0)</f>
        <v>0</v>
      </c>
      <c r="J25" s="298">
        <f>IF(I25&gt;0,0,ESF!J25-ESF!I25)</f>
        <v>0</v>
      </c>
      <c r="K25" s="233"/>
    </row>
    <row r="26" spans="1:11">
      <c r="A26" s="296"/>
      <c r="B26" s="559" t="s">
        <v>27</v>
      </c>
      <c r="C26" s="559"/>
      <c r="D26" s="295">
        <f>SUM(D28:D36)</f>
        <v>0</v>
      </c>
      <c r="E26" s="295">
        <f>SUM(E28:E36)</f>
        <v>4621753</v>
      </c>
      <c r="F26" s="219"/>
      <c r="G26" s="238"/>
      <c r="H26" s="238"/>
      <c r="I26" s="297"/>
      <c r="J26" s="297"/>
      <c r="K26" s="233"/>
    </row>
    <row r="27" spans="1:11">
      <c r="A27" s="296"/>
      <c r="B27" s="238"/>
      <c r="C27" s="237"/>
      <c r="D27" s="297"/>
      <c r="E27" s="297"/>
      <c r="F27" s="219"/>
      <c r="G27" s="560" t="s">
        <v>28</v>
      </c>
      <c r="H27" s="560"/>
      <c r="I27" s="295">
        <f>SUM(I29:I34)</f>
        <v>0</v>
      </c>
      <c r="J27" s="295">
        <f>SUM(J29:J34)</f>
        <v>0</v>
      </c>
      <c r="K27" s="233"/>
    </row>
    <row r="28" spans="1:11">
      <c r="A28" s="294"/>
      <c r="B28" s="558" t="s">
        <v>29</v>
      </c>
      <c r="C28" s="558"/>
      <c r="D28" s="298">
        <f>IF(ESF!D31&lt;ESF!E31,ESF!E31-ESF!D31,0)</f>
        <v>0</v>
      </c>
      <c r="E28" s="298">
        <f>IF(D28&gt;0,0,ESF!D31-ESF!E31)</f>
        <v>0</v>
      </c>
      <c r="F28" s="219"/>
      <c r="G28" s="238"/>
      <c r="H28" s="238"/>
      <c r="I28" s="297"/>
      <c r="J28" s="297"/>
      <c r="K28" s="233"/>
    </row>
    <row r="29" spans="1:11">
      <c r="A29" s="294"/>
      <c r="B29" s="558" t="s">
        <v>31</v>
      </c>
      <c r="C29" s="558"/>
      <c r="D29" s="298">
        <f>IF(ESF!D32&lt;ESF!E32,ESF!E32-ESF!D32,0)</f>
        <v>0</v>
      </c>
      <c r="E29" s="298">
        <f>IF(D29&gt;0,0,ESF!D32-ESF!E32)</f>
        <v>0</v>
      </c>
      <c r="F29" s="219"/>
      <c r="G29" s="558" t="s">
        <v>30</v>
      </c>
      <c r="H29" s="558"/>
      <c r="I29" s="298">
        <f>IF(ESF!I31&gt;ESF!J31,ESF!I31-ESF!J31,0)</f>
        <v>0</v>
      </c>
      <c r="J29" s="298">
        <f>IF(I29&gt;0,0,ESF!J31-ESF!I31)</f>
        <v>0</v>
      </c>
      <c r="K29" s="233"/>
    </row>
    <row r="30" spans="1:11">
      <c r="A30" s="294"/>
      <c r="B30" s="558" t="s">
        <v>33</v>
      </c>
      <c r="C30" s="558"/>
      <c r="D30" s="298">
        <f>IF(ESF!D33&lt;ESF!E33,ESF!E33-ESF!D33,0)</f>
        <v>0</v>
      </c>
      <c r="E30" s="298">
        <v>3324187</v>
      </c>
      <c r="F30" s="219"/>
      <c r="G30" s="558" t="s">
        <v>32</v>
      </c>
      <c r="H30" s="558"/>
      <c r="I30" s="298">
        <f>IF(ESF!I32&gt;ESF!J32,ESF!I32-ESF!J32,0)</f>
        <v>0</v>
      </c>
      <c r="J30" s="298">
        <f>IF(I30&gt;0,0,ESF!J32-ESF!I32)</f>
        <v>0</v>
      </c>
      <c r="K30" s="233"/>
    </row>
    <row r="31" spans="1:11">
      <c r="A31" s="294"/>
      <c r="B31" s="558" t="s">
        <v>35</v>
      </c>
      <c r="C31" s="558"/>
      <c r="D31" s="298">
        <f>IF(ESF!D34&lt;ESF!E34,ESF!E34-ESF!D34,0)</f>
        <v>0</v>
      </c>
      <c r="E31" s="298">
        <v>1297566</v>
      </c>
      <c r="F31" s="219"/>
      <c r="G31" s="558" t="s">
        <v>34</v>
      </c>
      <c r="H31" s="558"/>
      <c r="I31" s="298">
        <f>IF(ESF!I33&gt;ESF!J33,ESF!I33-ESF!J33,0)</f>
        <v>0</v>
      </c>
      <c r="J31" s="298">
        <f>IF(I31&gt;0,0,ESF!J33-ESF!I33)</f>
        <v>0</v>
      </c>
      <c r="K31" s="233"/>
    </row>
    <row r="32" spans="1:11">
      <c r="A32" s="294"/>
      <c r="B32" s="558" t="s">
        <v>37</v>
      </c>
      <c r="C32" s="558"/>
      <c r="D32" s="298">
        <f>IF(ESF!D35&lt;ESF!E35,ESF!E35-ESF!D35,0)</f>
        <v>0</v>
      </c>
      <c r="E32" s="298">
        <f>IF(D32&gt;0,0,ESF!D35-ESF!E35)</f>
        <v>0</v>
      </c>
      <c r="F32" s="219"/>
      <c r="G32" s="558" t="s">
        <v>36</v>
      </c>
      <c r="H32" s="558"/>
      <c r="I32" s="298">
        <f>IF(ESF!I34&gt;ESF!J34,ESF!I34-ESF!J34,0)</f>
        <v>0</v>
      </c>
      <c r="J32" s="298">
        <f>IF(I32&gt;0,0,ESF!J34-ESF!I34)</f>
        <v>0</v>
      </c>
      <c r="K32" s="233"/>
    </row>
    <row r="33" spans="1:11" ht="26.1" customHeight="1">
      <c r="A33" s="294"/>
      <c r="B33" s="561" t="s">
        <v>39</v>
      </c>
      <c r="C33" s="561"/>
      <c r="D33" s="298">
        <f>IF(ESF!D36&lt;ESF!E36,ESF!E36-ESF!D36,0)</f>
        <v>0</v>
      </c>
      <c r="E33" s="298">
        <f>IF(D33&gt;0,0,ESF!D36-ESF!E36)</f>
        <v>0</v>
      </c>
      <c r="F33" s="219"/>
      <c r="G33" s="561" t="s">
        <v>38</v>
      </c>
      <c r="H33" s="561"/>
      <c r="I33" s="298">
        <f>IF(ESF!I35&gt;ESF!J35,ESF!I35-ESF!J35,0)</f>
        <v>0</v>
      </c>
      <c r="J33" s="298">
        <f>IF(I33&gt;0,0,ESF!J35-ESF!I35)</f>
        <v>0</v>
      </c>
      <c r="K33" s="233"/>
    </row>
    <row r="34" spans="1:11">
      <c r="A34" s="294"/>
      <c r="B34" s="558" t="s">
        <v>41</v>
      </c>
      <c r="C34" s="558"/>
      <c r="D34" s="298">
        <f>IF(ESF!D37&lt;ESF!E37,ESF!E37-ESF!D37,0)</f>
        <v>0</v>
      </c>
      <c r="E34" s="298">
        <f>IF(D34&gt;0,0,ESF!D37-ESF!E37)</f>
        <v>0</v>
      </c>
      <c r="F34" s="219"/>
      <c r="G34" s="558" t="s">
        <v>40</v>
      </c>
      <c r="H34" s="558"/>
      <c r="I34" s="298">
        <f>IF(ESF!I36&gt;ESF!J36,ESF!I36-ESF!J36,0)</f>
        <v>0</v>
      </c>
      <c r="J34" s="298">
        <f>IF(I34&gt;0,0,ESF!J36-ESF!I36)</f>
        <v>0</v>
      </c>
      <c r="K34" s="233"/>
    </row>
    <row r="35" spans="1:11" ht="25.5" customHeight="1">
      <c r="A35" s="294"/>
      <c r="B35" s="561" t="s">
        <v>42</v>
      </c>
      <c r="C35" s="561"/>
      <c r="D35" s="298">
        <f>IF(ESF!D38&lt;ESF!E38,ESF!E38-ESF!D38,0)</f>
        <v>0</v>
      </c>
      <c r="E35" s="298">
        <f>IF(D35&gt;0,0,ESF!D38-ESF!E38)</f>
        <v>0</v>
      </c>
      <c r="F35" s="219"/>
      <c r="G35" s="238"/>
      <c r="H35" s="238"/>
      <c r="I35" s="299"/>
      <c r="J35" s="299"/>
      <c r="K35" s="233"/>
    </row>
    <row r="36" spans="1:11">
      <c r="A36" s="294"/>
      <c r="B36" s="558" t="s">
        <v>44</v>
      </c>
      <c r="C36" s="558"/>
      <c r="D36" s="298">
        <f>IF(ESF!D39&lt;ESF!E39,ESF!E39-ESF!D39,0)</f>
        <v>0</v>
      </c>
      <c r="E36" s="298">
        <f>IF(D36&gt;0,0,ESF!D39-ESF!E39)</f>
        <v>0</v>
      </c>
      <c r="F36" s="219"/>
      <c r="G36" s="559" t="s">
        <v>47</v>
      </c>
      <c r="H36" s="559"/>
      <c r="I36" s="295">
        <f>I38+I44+I52</f>
        <v>5878459</v>
      </c>
      <c r="J36" s="295">
        <f>J38+J44+J52</f>
        <v>0</v>
      </c>
      <c r="K36" s="233"/>
    </row>
    <row r="37" spans="1:11">
      <c r="A37" s="296"/>
      <c r="B37" s="238"/>
      <c r="C37" s="237"/>
      <c r="D37" s="299"/>
      <c r="E37" s="299"/>
      <c r="F37" s="219"/>
      <c r="G37" s="238"/>
      <c r="H37" s="238"/>
      <c r="I37" s="297"/>
      <c r="J37" s="297"/>
      <c r="K37" s="233"/>
    </row>
    <row r="38" spans="1:11">
      <c r="A38" s="294"/>
      <c r="B38" s="218"/>
      <c r="C38" s="218"/>
      <c r="D38" s="218"/>
      <c r="E38" s="218"/>
      <c r="F38" s="219"/>
      <c r="G38" s="559" t="s">
        <v>49</v>
      </c>
      <c r="H38" s="559"/>
      <c r="I38" s="295">
        <f>SUM(I40:I42)</f>
        <v>0</v>
      </c>
      <c r="J38" s="295">
        <f>SUM(J40:J42)</f>
        <v>0</v>
      </c>
      <c r="K38" s="233"/>
    </row>
    <row r="39" spans="1:11">
      <c r="A39" s="296"/>
      <c r="B39" s="218"/>
      <c r="C39" s="218"/>
      <c r="D39" s="218"/>
      <c r="E39" s="218"/>
      <c r="F39" s="219"/>
      <c r="G39" s="238"/>
      <c r="H39" s="238"/>
      <c r="I39" s="297"/>
      <c r="J39" s="297"/>
      <c r="K39" s="233"/>
    </row>
    <row r="40" spans="1:11">
      <c r="A40" s="294"/>
      <c r="B40" s="218"/>
      <c r="C40" s="218"/>
      <c r="D40" s="218"/>
      <c r="E40" s="218"/>
      <c r="F40" s="219"/>
      <c r="G40" s="558" t="s">
        <v>50</v>
      </c>
      <c r="H40" s="558"/>
      <c r="I40" s="298">
        <f>IF(ESF!I46&gt;ESF!J46,ESF!I46-ESF!J46,0)</f>
        <v>0</v>
      </c>
      <c r="J40" s="298">
        <f>IF(I40&gt;0,0,ESF!J46-ESF!I46)</f>
        <v>0</v>
      </c>
      <c r="K40" s="233"/>
    </row>
    <row r="41" spans="1:11">
      <c r="A41" s="296"/>
      <c r="B41" s="218"/>
      <c r="C41" s="218"/>
      <c r="D41" s="218"/>
      <c r="E41" s="218"/>
      <c r="F41" s="219"/>
      <c r="G41" s="558" t="s">
        <v>51</v>
      </c>
      <c r="H41" s="558"/>
      <c r="I41" s="298">
        <f>IF(ESF!I47&gt;ESF!J47,ESF!I47-ESF!J47,0)</f>
        <v>0</v>
      </c>
      <c r="J41" s="298">
        <f>IF(I41&gt;0,0,ESF!J47-ESF!I47)</f>
        <v>0</v>
      </c>
      <c r="K41" s="233"/>
    </row>
    <row r="42" spans="1:11">
      <c r="A42" s="294"/>
      <c r="B42" s="218"/>
      <c r="C42" s="218"/>
      <c r="D42" s="218"/>
      <c r="E42" s="218"/>
      <c r="F42" s="219"/>
      <c r="G42" s="558" t="s">
        <v>52</v>
      </c>
      <c r="H42" s="558"/>
      <c r="I42" s="298">
        <f>IF(ESF!I48&gt;ESF!J48,ESF!I48-ESF!J48,0)</f>
        <v>0</v>
      </c>
      <c r="J42" s="298">
        <f>IF(I42&gt;0,0,ESF!J48-ESF!I48)</f>
        <v>0</v>
      </c>
      <c r="K42" s="233"/>
    </row>
    <row r="43" spans="1:11">
      <c r="A43" s="294"/>
      <c r="B43" s="218"/>
      <c r="C43" s="218"/>
      <c r="D43" s="218"/>
      <c r="E43" s="218"/>
      <c r="F43" s="219"/>
      <c r="G43" s="238"/>
      <c r="H43" s="238"/>
      <c r="I43" s="297"/>
      <c r="J43" s="297"/>
      <c r="K43" s="233"/>
    </row>
    <row r="44" spans="1:11">
      <c r="A44" s="294"/>
      <c r="B44" s="218"/>
      <c r="C44" s="218"/>
      <c r="D44" s="218"/>
      <c r="E44" s="218"/>
      <c r="F44" s="219"/>
      <c r="G44" s="559" t="s">
        <v>53</v>
      </c>
      <c r="H44" s="559"/>
      <c r="I44" s="295">
        <f>SUM(I46:I50)</f>
        <v>5878459</v>
      </c>
      <c r="J44" s="295">
        <f>SUM(J46:J50)</f>
        <v>0</v>
      </c>
      <c r="K44" s="233"/>
    </row>
    <row r="45" spans="1:11">
      <c r="A45" s="294"/>
      <c r="B45" s="218"/>
      <c r="C45" s="218"/>
      <c r="D45" s="218"/>
      <c r="E45" s="218"/>
      <c r="F45" s="219"/>
      <c r="G45" s="238"/>
      <c r="H45" s="238"/>
      <c r="I45" s="297"/>
      <c r="J45" s="297"/>
      <c r="K45" s="233"/>
    </row>
    <row r="46" spans="1:11">
      <c r="A46" s="294"/>
      <c r="B46" s="218"/>
      <c r="C46" s="218"/>
      <c r="D46" s="218"/>
      <c r="E46" s="218"/>
      <c r="F46" s="219"/>
      <c r="G46" s="558" t="s">
        <v>54</v>
      </c>
      <c r="H46" s="558"/>
      <c r="I46" s="298">
        <v>185492</v>
      </c>
      <c r="J46" s="298">
        <v>0</v>
      </c>
      <c r="K46" s="233"/>
    </row>
    <row r="47" spans="1:11">
      <c r="A47" s="294"/>
      <c r="B47" s="218"/>
      <c r="C47" s="218"/>
      <c r="D47" s="218"/>
      <c r="E47" s="218"/>
      <c r="F47" s="219"/>
      <c r="G47" s="558" t="s">
        <v>55</v>
      </c>
      <c r="H47" s="558"/>
      <c r="I47" s="298">
        <v>1083208</v>
      </c>
      <c r="J47" s="298">
        <f>IF(I47&gt;0,0,ESF!J53-ESF!I53)</f>
        <v>0</v>
      </c>
      <c r="K47" s="233"/>
    </row>
    <row r="48" spans="1:11">
      <c r="A48" s="294"/>
      <c r="B48" s="218"/>
      <c r="C48" s="218"/>
      <c r="D48" s="218"/>
      <c r="E48" s="218"/>
      <c r="F48" s="219"/>
      <c r="G48" s="558" t="s">
        <v>56</v>
      </c>
      <c r="H48" s="558"/>
      <c r="I48" s="298">
        <f>IF(ESF!I54&gt;ESF!J54,ESF!I54-ESF!J54,0)</f>
        <v>0</v>
      </c>
      <c r="J48" s="298">
        <f>IF(I48&gt;0,0,ESF!J54-ESF!I54)</f>
        <v>0</v>
      </c>
      <c r="K48" s="233"/>
    </row>
    <row r="49" spans="1:11">
      <c r="A49" s="294"/>
      <c r="B49" s="218"/>
      <c r="C49" s="218"/>
      <c r="D49" s="218"/>
      <c r="E49" s="218"/>
      <c r="F49" s="219"/>
      <c r="G49" s="558" t="s">
        <v>57</v>
      </c>
      <c r="H49" s="558"/>
      <c r="I49" s="298">
        <f>IF(ESF!I55&gt;ESF!J55,ESF!I55-ESF!J55,0)</f>
        <v>0</v>
      </c>
      <c r="J49" s="298">
        <f>IF(I49&gt;0,0,ESF!J55-ESF!I55)</f>
        <v>0</v>
      </c>
      <c r="K49" s="233"/>
    </row>
    <row r="50" spans="1:11">
      <c r="A50" s="296"/>
      <c r="B50" s="218"/>
      <c r="C50" s="218"/>
      <c r="D50" s="218"/>
      <c r="E50" s="218"/>
      <c r="F50" s="219"/>
      <c r="G50" s="558" t="s">
        <v>58</v>
      </c>
      <c r="H50" s="558"/>
      <c r="I50" s="298">
        <v>4609759</v>
      </c>
      <c r="J50" s="298">
        <v>0</v>
      </c>
      <c r="K50" s="233"/>
    </row>
    <row r="51" spans="1:11">
      <c r="A51" s="294"/>
      <c r="B51" s="218"/>
      <c r="C51" s="218"/>
      <c r="D51" s="218"/>
      <c r="E51" s="218"/>
      <c r="F51" s="219"/>
      <c r="G51" s="238"/>
      <c r="H51" s="238"/>
      <c r="I51" s="297"/>
      <c r="J51" s="297"/>
      <c r="K51" s="233"/>
    </row>
    <row r="52" spans="1:11" ht="26.1" customHeight="1">
      <c r="A52" s="296"/>
      <c r="B52" s="218"/>
      <c r="C52" s="218"/>
      <c r="D52" s="218"/>
      <c r="E52" s="218"/>
      <c r="F52" s="219"/>
      <c r="G52" s="559" t="s">
        <v>80</v>
      </c>
      <c r="H52" s="559"/>
      <c r="I52" s="295">
        <f>SUM(I54:I55)</f>
        <v>0</v>
      </c>
      <c r="J52" s="295">
        <f>SUM(J54:J55)</f>
        <v>0</v>
      </c>
      <c r="K52" s="233"/>
    </row>
    <row r="53" spans="1:11">
      <c r="A53" s="294"/>
      <c r="B53" s="218"/>
      <c r="C53" s="218"/>
      <c r="D53" s="218"/>
      <c r="E53" s="218"/>
      <c r="F53" s="219"/>
      <c r="G53" s="238"/>
      <c r="H53" s="238"/>
      <c r="I53" s="297"/>
      <c r="J53" s="297"/>
      <c r="K53" s="233"/>
    </row>
    <row r="54" spans="1:11">
      <c r="A54" s="294"/>
      <c r="B54" s="218"/>
      <c r="C54" s="218"/>
      <c r="D54" s="218"/>
      <c r="E54" s="218"/>
      <c r="F54" s="219"/>
      <c r="G54" s="558" t="s">
        <v>60</v>
      </c>
      <c r="H54" s="558"/>
      <c r="I54" s="298">
        <f>IF(ESF!I60&gt;ESF!J60,ESF!I60-ESF!J60,0)</f>
        <v>0</v>
      </c>
      <c r="J54" s="298">
        <f>IF(I54&gt;0,0,ESF!J60-ESF!I60)</f>
        <v>0</v>
      </c>
      <c r="K54" s="233"/>
    </row>
    <row r="55" spans="1:11" ht="19.5" customHeight="1">
      <c r="A55" s="300"/>
      <c r="B55" s="263"/>
      <c r="C55" s="263"/>
      <c r="D55" s="263"/>
      <c r="E55" s="263"/>
      <c r="F55" s="257"/>
      <c r="G55" s="568" t="s">
        <v>61</v>
      </c>
      <c r="H55" s="568"/>
      <c r="I55" s="301">
        <f>IF(ESF!I61&gt;ESF!J61,ESF!I61-ESF!J61,0)</f>
        <v>0</v>
      </c>
      <c r="J55" s="301">
        <f>IF(I55&gt;0,0,ESF!J61-ESF!I61)</f>
        <v>0</v>
      </c>
      <c r="K55" s="259"/>
    </row>
    <row r="56" spans="1:11" ht="6" customHeight="1">
      <c r="A56" s="302"/>
      <c r="B56" s="263"/>
      <c r="C56" s="264"/>
      <c r="D56" s="265"/>
      <c r="E56" s="266"/>
      <c r="F56" s="266"/>
      <c r="G56" s="263"/>
      <c r="H56" s="303"/>
      <c r="I56" s="265"/>
      <c r="J56" s="266"/>
      <c r="K56" s="266"/>
    </row>
    <row r="57" spans="1:11" ht="6" customHeight="1">
      <c r="A57" s="218"/>
      <c r="C57" s="236"/>
      <c r="D57" s="260"/>
      <c r="E57" s="261"/>
      <c r="F57" s="261"/>
      <c r="H57" s="304"/>
      <c r="I57" s="260"/>
      <c r="J57" s="261"/>
      <c r="K57" s="261"/>
    </row>
    <row r="58" spans="1:11" ht="6" customHeight="1">
      <c r="B58" s="236"/>
      <c r="C58" s="260"/>
      <c r="D58" s="261"/>
      <c r="E58" s="261"/>
      <c r="G58" s="262"/>
      <c r="H58" s="305"/>
      <c r="I58" s="261"/>
      <c r="J58" s="261"/>
    </row>
    <row r="59" spans="1:11" ht="15" customHeight="1">
      <c r="B59" s="565" t="s">
        <v>78</v>
      </c>
      <c r="C59" s="565"/>
      <c r="D59" s="565"/>
      <c r="E59" s="565"/>
      <c r="F59" s="565"/>
      <c r="G59" s="565"/>
      <c r="H59" s="565"/>
      <c r="I59" s="565"/>
      <c r="J59" s="565"/>
    </row>
    <row r="60" spans="1:11" ht="9.75" customHeight="1">
      <c r="B60" s="236"/>
      <c r="C60" s="260"/>
      <c r="D60" s="261"/>
      <c r="E60" s="261"/>
      <c r="G60" s="262"/>
      <c r="H60" s="305"/>
      <c r="I60" s="261"/>
      <c r="J60" s="261"/>
    </row>
    <row r="61" spans="1:11" ht="50.1" customHeight="1">
      <c r="B61" s="236"/>
      <c r="C61" s="306"/>
      <c r="D61" s="307"/>
      <c r="E61" s="261"/>
      <c r="G61" s="308"/>
      <c r="H61" s="309"/>
      <c r="I61" s="261"/>
      <c r="J61" s="261"/>
    </row>
    <row r="62" spans="1:11" ht="14.1" customHeight="1">
      <c r="B62" s="268"/>
      <c r="C62" s="543" t="s">
        <v>1011</v>
      </c>
      <c r="D62" s="543"/>
      <c r="E62" s="261"/>
      <c r="F62" s="261"/>
      <c r="G62" s="543" t="s">
        <v>1011</v>
      </c>
      <c r="H62" s="543"/>
      <c r="I62" s="237"/>
      <c r="J62" s="261"/>
    </row>
    <row r="63" spans="1:11" ht="36" customHeight="1">
      <c r="B63" s="270"/>
      <c r="C63" s="538" t="s">
        <v>1012</v>
      </c>
      <c r="D63" s="538"/>
      <c r="E63" s="271"/>
      <c r="F63" s="271"/>
      <c r="G63" s="538" t="s">
        <v>1012</v>
      </c>
      <c r="H63" s="538"/>
      <c r="I63" s="237"/>
      <c r="J63" s="261"/>
    </row>
    <row r="64" spans="1:11">
      <c r="A64" s="255"/>
      <c r="F64" s="219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25" zoomScaleNormal="100" workbookViewId="0">
      <selection activeCell="E32" sqref="E32"/>
    </sheetView>
  </sheetViews>
  <sheetFormatPr baseColWidth="10" defaultRowHeight="12"/>
  <cols>
    <col min="1" max="1" width="1.140625" style="170" customWidth="1"/>
    <col min="2" max="2" width="11.7109375" style="170" customWidth="1"/>
    <col min="3" max="3" width="54.42578125" style="170" customWidth="1"/>
    <col min="4" max="4" width="19.140625" style="336" customWidth="1"/>
    <col min="5" max="5" width="19.28515625" style="170" customWidth="1"/>
    <col min="6" max="6" width="19" style="170" customWidth="1"/>
    <col min="7" max="7" width="21.28515625" style="170" customWidth="1"/>
    <col min="8" max="8" width="18.7109375" style="170" customWidth="1"/>
    <col min="9" max="9" width="1.140625" style="170" customWidth="1"/>
    <col min="10" max="16384" width="11.42578125" style="170"/>
  </cols>
  <sheetData>
    <row r="1" spans="1:13" s="218" customFormat="1" ht="6" customHeight="1">
      <c r="B1" s="219"/>
      <c r="C1" s="587"/>
      <c r="D1" s="587"/>
      <c r="E1" s="587"/>
      <c r="F1" s="588"/>
      <c r="G1" s="588"/>
      <c r="H1" s="588"/>
      <c r="I1" s="310"/>
      <c r="J1" s="275"/>
      <c r="K1" s="275"/>
    </row>
    <row r="2" spans="1:13" s="218" customFormat="1" ht="6" customHeight="1">
      <c r="B2" s="219"/>
    </row>
    <row r="3" spans="1:13" s="218" customFormat="1" ht="14.1" customHeight="1">
      <c r="B3" s="221"/>
      <c r="C3" s="566" t="s">
        <v>1018</v>
      </c>
      <c r="D3" s="566"/>
      <c r="E3" s="566"/>
      <c r="F3" s="566"/>
      <c r="G3" s="566"/>
      <c r="H3" s="221"/>
      <c r="I3" s="221"/>
      <c r="J3" s="170"/>
      <c r="K3" s="170"/>
    </row>
    <row r="4" spans="1:13" s="218" customFormat="1" ht="14.1" customHeight="1">
      <c r="B4" s="221"/>
      <c r="C4" s="566" t="s">
        <v>146</v>
      </c>
      <c r="D4" s="566"/>
      <c r="E4" s="566"/>
      <c r="F4" s="566"/>
      <c r="G4" s="566"/>
      <c r="H4" s="221"/>
      <c r="I4" s="221"/>
      <c r="J4" s="170"/>
      <c r="K4" s="170"/>
    </row>
    <row r="5" spans="1:13" s="218" customFormat="1" ht="14.1" customHeight="1">
      <c r="B5" s="221"/>
      <c r="C5" s="566" t="s">
        <v>1020</v>
      </c>
      <c r="D5" s="566"/>
      <c r="E5" s="566"/>
      <c r="F5" s="566"/>
      <c r="G5" s="566"/>
      <c r="H5" s="221"/>
      <c r="I5" s="221"/>
      <c r="J5" s="170"/>
      <c r="K5" s="170"/>
    </row>
    <row r="6" spans="1:13" s="218" customFormat="1" ht="14.1" customHeight="1">
      <c r="B6" s="221"/>
      <c r="C6" s="566" t="s">
        <v>1</v>
      </c>
      <c r="D6" s="566"/>
      <c r="E6" s="566"/>
      <c r="F6" s="566"/>
      <c r="G6" s="566"/>
      <c r="H6" s="221"/>
      <c r="I6" s="221"/>
      <c r="J6" s="170"/>
      <c r="K6" s="170"/>
    </row>
    <row r="7" spans="1:13" s="218" customFormat="1" ht="20.100000000000001" customHeight="1">
      <c r="A7" s="223"/>
      <c r="B7" s="224" t="s">
        <v>4</v>
      </c>
      <c r="C7" s="551" t="s">
        <v>1010</v>
      </c>
      <c r="D7" s="551"/>
      <c r="E7" s="551"/>
      <c r="F7" s="551"/>
      <c r="G7" s="551"/>
      <c r="H7" s="551"/>
      <c r="I7" s="551"/>
      <c r="J7" s="551"/>
      <c r="K7" s="311"/>
      <c r="L7" s="311"/>
      <c r="M7" s="311"/>
    </row>
    <row r="8" spans="1:13" s="218" customFormat="1" ht="6.75" customHeight="1">
      <c r="A8" s="567"/>
      <c r="B8" s="567"/>
      <c r="C8" s="567"/>
      <c r="D8" s="567"/>
      <c r="E8" s="567"/>
      <c r="F8" s="567"/>
      <c r="G8" s="567"/>
      <c r="H8" s="567"/>
      <c r="I8" s="567"/>
    </row>
    <row r="9" spans="1:13" s="218" customFormat="1" ht="3" customHeight="1">
      <c r="A9" s="567"/>
      <c r="B9" s="567"/>
      <c r="C9" s="567"/>
      <c r="D9" s="567"/>
      <c r="E9" s="567"/>
      <c r="F9" s="567"/>
      <c r="G9" s="567"/>
      <c r="H9" s="567"/>
      <c r="I9" s="567"/>
    </row>
    <row r="10" spans="1:13" s="316" customFormat="1">
      <c r="A10" s="312"/>
      <c r="B10" s="579" t="s">
        <v>76</v>
      </c>
      <c r="C10" s="579"/>
      <c r="D10" s="313" t="s">
        <v>147</v>
      </c>
      <c r="E10" s="313" t="s">
        <v>148</v>
      </c>
      <c r="F10" s="314" t="s">
        <v>149</v>
      </c>
      <c r="G10" s="314" t="s">
        <v>150</v>
      </c>
      <c r="H10" s="314" t="s">
        <v>151</v>
      </c>
      <c r="I10" s="315"/>
    </row>
    <row r="11" spans="1:13" s="316" customFormat="1">
      <c r="A11" s="317"/>
      <c r="B11" s="580"/>
      <c r="C11" s="580"/>
      <c r="D11" s="318">
        <v>1</v>
      </c>
      <c r="E11" s="318">
        <v>2</v>
      </c>
      <c r="F11" s="319">
        <v>3</v>
      </c>
      <c r="G11" s="319" t="s">
        <v>152</v>
      </c>
      <c r="H11" s="319" t="s">
        <v>153</v>
      </c>
      <c r="I11" s="320"/>
    </row>
    <row r="12" spans="1:13" s="218" customFormat="1" ht="3" customHeight="1">
      <c r="A12" s="581"/>
      <c r="B12" s="567"/>
      <c r="C12" s="567"/>
      <c r="D12" s="567"/>
      <c r="E12" s="567"/>
      <c r="F12" s="567"/>
      <c r="G12" s="567"/>
      <c r="H12" s="567"/>
      <c r="I12" s="582"/>
    </row>
    <row r="13" spans="1:13" s="218" customFormat="1" ht="3" customHeight="1">
      <c r="A13" s="583"/>
      <c r="B13" s="584"/>
      <c r="C13" s="584"/>
      <c r="D13" s="584"/>
      <c r="E13" s="584"/>
      <c r="F13" s="584"/>
      <c r="G13" s="584"/>
      <c r="H13" s="584"/>
      <c r="I13" s="585"/>
      <c r="J13" s="170"/>
      <c r="K13" s="170"/>
    </row>
    <row r="14" spans="1:13" s="218" customFormat="1">
      <c r="A14" s="247"/>
      <c r="B14" s="586" t="s">
        <v>6</v>
      </c>
      <c r="C14" s="586"/>
      <c r="D14" s="321">
        <f>+D16+D26</f>
        <v>5791829</v>
      </c>
      <c r="E14" s="321">
        <f>+E16+E26</f>
        <v>634051</v>
      </c>
      <c r="F14" s="321">
        <f>+F16+F26</f>
        <v>463165</v>
      </c>
      <c r="G14" s="321">
        <f t="shared" ref="G14:H14" si="0">+G16+G26</f>
        <v>5962715</v>
      </c>
      <c r="H14" s="321">
        <f t="shared" si="0"/>
        <v>170886</v>
      </c>
      <c r="I14" s="322"/>
      <c r="J14" s="170"/>
      <c r="K14" s="170"/>
    </row>
    <row r="15" spans="1:13" s="218" customFormat="1" ht="5.0999999999999996" customHeight="1">
      <c r="A15" s="247"/>
      <c r="B15" s="323"/>
      <c r="C15" s="323"/>
      <c r="D15" s="321"/>
      <c r="E15" s="321"/>
      <c r="F15" s="321"/>
      <c r="G15" s="321"/>
      <c r="H15" s="321"/>
      <c r="I15" s="322"/>
      <c r="J15" s="170"/>
      <c r="K15" s="170"/>
    </row>
    <row r="16" spans="1:13" s="218" customFormat="1" ht="20.25">
      <c r="A16" s="324"/>
      <c r="B16" s="559" t="s">
        <v>8</v>
      </c>
      <c r="C16" s="559"/>
      <c r="D16" s="325">
        <f>SUM(D18:D24)</f>
        <v>1180070</v>
      </c>
      <c r="E16" s="325">
        <f>SUM(E18:E24)</f>
        <v>624057</v>
      </c>
      <c r="F16" s="325">
        <f>SUM(F18:F24)</f>
        <v>463165</v>
      </c>
      <c r="G16" s="325">
        <f>D16+E16-F16</f>
        <v>1340962</v>
      </c>
      <c r="H16" s="325">
        <f>G16-D16</f>
        <v>160892</v>
      </c>
      <c r="I16" s="326"/>
      <c r="J16" s="170"/>
      <c r="K16" s="327"/>
    </row>
    <row r="17" spans="1:14" s="218" customFormat="1" ht="5.0999999999999996" customHeight="1">
      <c r="A17" s="234"/>
      <c r="B17" s="219"/>
      <c r="C17" s="219"/>
      <c r="D17" s="328"/>
      <c r="E17" s="328"/>
      <c r="F17" s="328"/>
      <c r="G17" s="328"/>
      <c r="H17" s="328"/>
      <c r="I17" s="329"/>
      <c r="J17" s="170"/>
      <c r="K17" s="327"/>
    </row>
    <row r="18" spans="1:14" s="218" customFormat="1" ht="19.5" customHeight="1">
      <c r="A18" s="234"/>
      <c r="B18" s="571" t="s">
        <v>10</v>
      </c>
      <c r="C18" s="571"/>
      <c r="D18" s="330">
        <v>1179590</v>
      </c>
      <c r="E18" s="330">
        <v>617741</v>
      </c>
      <c r="F18" s="330">
        <v>457696</v>
      </c>
      <c r="G18" s="246">
        <f>D18+E18-F18</f>
        <v>1339635</v>
      </c>
      <c r="H18" s="246">
        <f>G18-D18</f>
        <v>160045</v>
      </c>
      <c r="I18" s="329"/>
      <c r="J18" s="170"/>
      <c r="K18" s="327" t="str">
        <f>IF(G18=ESF!D18," ","Error")</f>
        <v xml:space="preserve"> </v>
      </c>
    </row>
    <row r="19" spans="1:14" s="218" customFormat="1" ht="19.5" customHeight="1">
      <c r="A19" s="234"/>
      <c r="B19" s="571" t="s">
        <v>12</v>
      </c>
      <c r="C19" s="571"/>
      <c r="D19" s="330">
        <v>480</v>
      </c>
      <c r="E19" s="330">
        <v>6316</v>
      </c>
      <c r="F19" s="330">
        <v>5469</v>
      </c>
      <c r="G19" s="246">
        <f t="shared" ref="G19:G24" si="1">D19+E19-F19</f>
        <v>1327</v>
      </c>
      <c r="H19" s="246">
        <f t="shared" ref="H19:H24" si="2">G19-D19</f>
        <v>847</v>
      </c>
      <c r="I19" s="329"/>
      <c r="J19" s="170"/>
      <c r="K19" s="327" t="str">
        <f>IF(G19=ESF!D19," ","Error")</f>
        <v xml:space="preserve"> </v>
      </c>
    </row>
    <row r="20" spans="1:14" s="218" customFormat="1" ht="19.5" customHeight="1">
      <c r="A20" s="234"/>
      <c r="B20" s="571" t="s">
        <v>14</v>
      </c>
      <c r="C20" s="571"/>
      <c r="D20" s="330">
        <f>+ESF!E20</f>
        <v>0</v>
      </c>
      <c r="E20" s="330">
        <v>0</v>
      </c>
      <c r="F20" s="330">
        <v>0</v>
      </c>
      <c r="G20" s="246">
        <f t="shared" si="1"/>
        <v>0</v>
      </c>
      <c r="H20" s="246">
        <f t="shared" si="2"/>
        <v>0</v>
      </c>
      <c r="I20" s="329"/>
      <c r="J20" s="170"/>
      <c r="K20" s="327" t="str">
        <f>IF(G20=ESF!D20," ","Error")</f>
        <v xml:space="preserve"> </v>
      </c>
    </row>
    <row r="21" spans="1:14" s="218" customFormat="1" ht="19.5" customHeight="1">
      <c r="A21" s="234"/>
      <c r="B21" s="571" t="s">
        <v>16</v>
      </c>
      <c r="C21" s="571"/>
      <c r="D21" s="330">
        <f>+ESF!E21</f>
        <v>0</v>
      </c>
      <c r="E21" s="330">
        <v>0</v>
      </c>
      <c r="F21" s="330">
        <v>0</v>
      </c>
      <c r="G21" s="246">
        <f t="shared" si="1"/>
        <v>0</v>
      </c>
      <c r="H21" s="246">
        <f t="shared" si="2"/>
        <v>0</v>
      </c>
      <c r="I21" s="329"/>
      <c r="J21" s="170"/>
      <c r="K21" s="327" t="str">
        <f>IF(G21=ESF!D21," ","Error")</f>
        <v xml:space="preserve"> </v>
      </c>
      <c r="N21" s="218" t="s">
        <v>135</v>
      </c>
    </row>
    <row r="22" spans="1:14" s="218" customFormat="1" ht="19.5" customHeight="1">
      <c r="A22" s="234"/>
      <c r="B22" s="571" t="s">
        <v>18</v>
      </c>
      <c r="C22" s="571"/>
      <c r="D22" s="330">
        <f>+ESF!E22</f>
        <v>0</v>
      </c>
      <c r="E22" s="330">
        <v>0</v>
      </c>
      <c r="F22" s="330">
        <v>0</v>
      </c>
      <c r="G22" s="246">
        <f t="shared" si="1"/>
        <v>0</v>
      </c>
      <c r="H22" s="246">
        <f t="shared" si="2"/>
        <v>0</v>
      </c>
      <c r="I22" s="329"/>
      <c r="J22" s="170"/>
      <c r="K22" s="327" t="str">
        <f>IF(G22=ESF!D22," ","Error")</f>
        <v xml:space="preserve"> </v>
      </c>
    </row>
    <row r="23" spans="1:14" s="218" customFormat="1" ht="19.5" customHeight="1">
      <c r="A23" s="234"/>
      <c r="B23" s="571" t="s">
        <v>20</v>
      </c>
      <c r="C23" s="571"/>
      <c r="D23" s="330">
        <f>+ESF!E23</f>
        <v>0</v>
      </c>
      <c r="E23" s="330">
        <v>0</v>
      </c>
      <c r="F23" s="330">
        <v>0</v>
      </c>
      <c r="G23" s="246">
        <f t="shared" si="1"/>
        <v>0</v>
      </c>
      <c r="H23" s="246">
        <f t="shared" si="2"/>
        <v>0</v>
      </c>
      <c r="I23" s="329"/>
      <c r="J23" s="170"/>
      <c r="K23" s="327" t="str">
        <f>IF(G23=ESF!D23," ","Error")</f>
        <v xml:space="preserve"> </v>
      </c>
      <c r="L23" s="218" t="s">
        <v>135</v>
      </c>
    </row>
    <row r="24" spans="1:14" ht="19.5" customHeight="1">
      <c r="A24" s="234"/>
      <c r="B24" s="571" t="s">
        <v>22</v>
      </c>
      <c r="C24" s="571"/>
      <c r="D24" s="330">
        <f>+ESF!E24</f>
        <v>0</v>
      </c>
      <c r="E24" s="330">
        <v>0</v>
      </c>
      <c r="F24" s="330">
        <v>0</v>
      </c>
      <c r="G24" s="246">
        <f t="shared" si="1"/>
        <v>0</v>
      </c>
      <c r="H24" s="246">
        <f t="shared" si="2"/>
        <v>0</v>
      </c>
      <c r="I24" s="329"/>
      <c r="K24" s="327" t="str">
        <f>IF(G24=ESF!D24," ","Error")</f>
        <v xml:space="preserve"> </v>
      </c>
    </row>
    <row r="25" spans="1:14" ht="20.25">
      <c r="A25" s="234"/>
      <c r="B25" s="331"/>
      <c r="C25" s="331"/>
      <c r="D25" s="332"/>
      <c r="E25" s="332"/>
      <c r="F25" s="332"/>
      <c r="G25" s="332"/>
      <c r="H25" s="332"/>
      <c r="I25" s="329"/>
      <c r="K25" s="327"/>
    </row>
    <row r="26" spans="1:14" ht="20.25">
      <c r="A26" s="324"/>
      <c r="B26" s="559" t="s">
        <v>27</v>
      </c>
      <c r="C26" s="559"/>
      <c r="D26" s="325">
        <f>SUM(D28:D36)</f>
        <v>4611759</v>
      </c>
      <c r="E26" s="325">
        <f>SUM(E28:E36)</f>
        <v>9994</v>
      </c>
      <c r="F26" s="325">
        <f>SUM(F28:F36)</f>
        <v>0</v>
      </c>
      <c r="G26" s="325">
        <f>D26+E26-F26</f>
        <v>4621753</v>
      </c>
      <c r="H26" s="325">
        <f>G26-D26</f>
        <v>9994</v>
      </c>
      <c r="I26" s="326"/>
      <c r="K26" s="327"/>
    </row>
    <row r="27" spans="1:14" ht="5.0999999999999996" customHeight="1">
      <c r="A27" s="234"/>
      <c r="B27" s="219"/>
      <c r="C27" s="331"/>
      <c r="D27" s="328"/>
      <c r="E27" s="328"/>
      <c r="F27" s="328"/>
      <c r="G27" s="328"/>
      <c r="H27" s="328"/>
      <c r="I27" s="329"/>
      <c r="K27" s="327"/>
    </row>
    <row r="28" spans="1:14" ht="19.5" customHeight="1">
      <c r="A28" s="234"/>
      <c r="B28" s="571" t="s">
        <v>29</v>
      </c>
      <c r="C28" s="571"/>
      <c r="D28" s="330">
        <f>+ESF!E31</f>
        <v>0</v>
      </c>
      <c r="E28" s="330">
        <v>0</v>
      </c>
      <c r="F28" s="330">
        <v>0</v>
      </c>
      <c r="G28" s="246">
        <f>D28+E28-F28</f>
        <v>0</v>
      </c>
      <c r="H28" s="246">
        <f>G28-D28</f>
        <v>0</v>
      </c>
      <c r="I28" s="329"/>
      <c r="K28" s="327" t="str">
        <f>IF(G28=ESF!D31," ","error")</f>
        <v xml:space="preserve"> </v>
      </c>
    </row>
    <row r="29" spans="1:14" ht="19.5" customHeight="1">
      <c r="A29" s="234"/>
      <c r="B29" s="571" t="s">
        <v>31</v>
      </c>
      <c r="C29" s="571"/>
      <c r="D29" s="330">
        <f>+ESF!E32</f>
        <v>0</v>
      </c>
      <c r="E29" s="330">
        <v>0</v>
      </c>
      <c r="F29" s="330">
        <v>0</v>
      </c>
      <c r="G29" s="246">
        <f t="shared" ref="G29:G36" si="3">D29+E29-F29</f>
        <v>0</v>
      </c>
      <c r="H29" s="246">
        <f t="shared" ref="H29:H36" si="4">G29-D29</f>
        <v>0</v>
      </c>
      <c r="I29" s="329"/>
      <c r="K29" s="327" t="str">
        <f>IF(G29=ESF!D32," ","error")</f>
        <v xml:space="preserve"> </v>
      </c>
    </row>
    <row r="30" spans="1:14" ht="19.5" customHeight="1">
      <c r="A30" s="234"/>
      <c r="B30" s="571" t="s">
        <v>33</v>
      </c>
      <c r="C30" s="571"/>
      <c r="D30" s="330">
        <v>3324187</v>
      </c>
      <c r="E30" s="330">
        <v>0</v>
      </c>
      <c r="F30" s="330">
        <v>0</v>
      </c>
      <c r="G30" s="246">
        <f t="shared" si="3"/>
        <v>3324187</v>
      </c>
      <c r="H30" s="246">
        <f t="shared" si="4"/>
        <v>0</v>
      </c>
      <c r="I30" s="329"/>
      <c r="K30" s="327" t="str">
        <f>IF(G30=ESF!D33," ","error")</f>
        <v xml:space="preserve"> </v>
      </c>
    </row>
    <row r="31" spans="1:14" ht="19.5" customHeight="1">
      <c r="A31" s="234"/>
      <c r="B31" s="571" t="s">
        <v>154</v>
      </c>
      <c r="C31" s="571"/>
      <c r="D31" s="330">
        <v>1287572</v>
      </c>
      <c r="E31" s="330">
        <v>9994</v>
      </c>
      <c r="F31" s="330">
        <v>0</v>
      </c>
      <c r="G31" s="246">
        <f t="shared" si="3"/>
        <v>1297566</v>
      </c>
      <c r="H31" s="246">
        <f t="shared" si="4"/>
        <v>9994</v>
      </c>
      <c r="I31" s="329"/>
      <c r="K31" s="327" t="str">
        <f>IF(G31=ESF!D34," ","error")</f>
        <v xml:space="preserve"> </v>
      </c>
    </row>
    <row r="32" spans="1:14" ht="19.5" customHeight="1">
      <c r="A32" s="234"/>
      <c r="B32" s="571" t="s">
        <v>37</v>
      </c>
      <c r="C32" s="571"/>
      <c r="D32" s="330">
        <f>+ESF!E35</f>
        <v>0</v>
      </c>
      <c r="E32" s="330">
        <v>0</v>
      </c>
      <c r="F32" s="330">
        <v>0</v>
      </c>
      <c r="G32" s="246">
        <f t="shared" si="3"/>
        <v>0</v>
      </c>
      <c r="H32" s="246">
        <f t="shared" si="4"/>
        <v>0</v>
      </c>
      <c r="I32" s="329"/>
      <c r="K32" s="327" t="str">
        <f>IF(G32=ESF!D35," ","error")</f>
        <v xml:space="preserve"> </v>
      </c>
    </row>
    <row r="33" spans="1:17" ht="19.5" customHeight="1">
      <c r="A33" s="234"/>
      <c r="B33" s="571" t="s">
        <v>39</v>
      </c>
      <c r="C33" s="571"/>
      <c r="D33" s="330">
        <f>+ESF!E36</f>
        <v>0</v>
      </c>
      <c r="E33" s="330">
        <v>0</v>
      </c>
      <c r="F33" s="330">
        <v>0</v>
      </c>
      <c r="G33" s="246">
        <f t="shared" si="3"/>
        <v>0</v>
      </c>
      <c r="H33" s="246">
        <f t="shared" si="4"/>
        <v>0</v>
      </c>
      <c r="I33" s="329"/>
      <c r="K33" s="327" t="str">
        <f>IF(G33=ESF!D36," ","error")</f>
        <v xml:space="preserve"> </v>
      </c>
    </row>
    <row r="34" spans="1:17" ht="19.5" customHeight="1">
      <c r="A34" s="234"/>
      <c r="B34" s="571" t="s">
        <v>41</v>
      </c>
      <c r="C34" s="571"/>
      <c r="D34" s="330">
        <f>+ESF!E37</f>
        <v>0</v>
      </c>
      <c r="E34" s="330">
        <v>0</v>
      </c>
      <c r="F34" s="330">
        <v>0</v>
      </c>
      <c r="G34" s="246">
        <f t="shared" si="3"/>
        <v>0</v>
      </c>
      <c r="H34" s="246">
        <f t="shared" si="4"/>
        <v>0</v>
      </c>
      <c r="I34" s="329"/>
      <c r="K34" s="327" t="str">
        <f>IF(G34=ESF!D37," ","error")</f>
        <v xml:space="preserve"> </v>
      </c>
    </row>
    <row r="35" spans="1:17" ht="19.5" customHeight="1">
      <c r="A35" s="234"/>
      <c r="B35" s="571" t="s">
        <v>42</v>
      </c>
      <c r="C35" s="571"/>
      <c r="D35" s="330">
        <f>+ESF!E38</f>
        <v>0</v>
      </c>
      <c r="E35" s="330">
        <v>0</v>
      </c>
      <c r="F35" s="330">
        <v>0</v>
      </c>
      <c r="G35" s="246">
        <f t="shared" si="3"/>
        <v>0</v>
      </c>
      <c r="H35" s="246">
        <f t="shared" si="4"/>
        <v>0</v>
      </c>
      <c r="I35" s="329"/>
      <c r="K35" s="327" t="str">
        <f>IF(G35=ESF!D38," ","error")</f>
        <v xml:space="preserve"> </v>
      </c>
    </row>
    <row r="36" spans="1:17" ht="19.5" customHeight="1">
      <c r="A36" s="234"/>
      <c r="B36" s="571" t="s">
        <v>44</v>
      </c>
      <c r="C36" s="571"/>
      <c r="D36" s="330">
        <f>+ESF!E39</f>
        <v>0</v>
      </c>
      <c r="E36" s="330">
        <v>0</v>
      </c>
      <c r="F36" s="330">
        <v>0</v>
      </c>
      <c r="G36" s="246">
        <f t="shared" si="3"/>
        <v>0</v>
      </c>
      <c r="H36" s="246">
        <f t="shared" si="4"/>
        <v>0</v>
      </c>
      <c r="I36" s="329"/>
      <c r="K36" s="327" t="str">
        <f>IF(G36=ESF!D39," ","error")</f>
        <v xml:space="preserve"> </v>
      </c>
    </row>
    <row r="37" spans="1:17" ht="20.25">
      <c r="A37" s="234"/>
      <c r="B37" s="331"/>
      <c r="C37" s="331"/>
      <c r="D37" s="332"/>
      <c r="E37" s="328"/>
      <c r="F37" s="328"/>
      <c r="G37" s="328"/>
      <c r="H37" s="328"/>
      <c r="I37" s="329"/>
      <c r="K37" s="327"/>
    </row>
    <row r="38" spans="1:17" ht="6" customHeight="1">
      <c r="A38" s="572"/>
      <c r="B38" s="573"/>
      <c r="C38" s="573"/>
      <c r="D38" s="573"/>
      <c r="E38" s="573"/>
      <c r="F38" s="573"/>
      <c r="G38" s="573"/>
      <c r="H38" s="573"/>
      <c r="I38" s="574"/>
    </row>
    <row r="39" spans="1:17" ht="6" customHeight="1">
      <c r="A39" s="333"/>
      <c r="B39" s="334"/>
      <c r="C39" s="335"/>
      <c r="E39" s="333"/>
      <c r="F39" s="333"/>
      <c r="G39" s="333"/>
      <c r="H39" s="333"/>
      <c r="I39" s="333"/>
    </row>
    <row r="40" spans="1:17" ht="15" customHeight="1">
      <c r="A40" s="218"/>
      <c r="B40" s="558" t="s">
        <v>78</v>
      </c>
      <c r="C40" s="558"/>
      <c r="D40" s="558"/>
      <c r="E40" s="558"/>
      <c r="F40" s="558"/>
      <c r="G40" s="558"/>
      <c r="H40" s="558"/>
      <c r="I40" s="236"/>
      <c r="J40" s="236"/>
      <c r="K40" s="218"/>
      <c r="L40" s="218"/>
      <c r="M40" s="218"/>
      <c r="N40" s="218"/>
      <c r="O40" s="218"/>
      <c r="P40" s="218"/>
      <c r="Q40" s="218"/>
    </row>
    <row r="41" spans="1:17" ht="9.75" customHeight="1">
      <c r="A41" s="218"/>
      <c r="B41" s="236"/>
      <c r="C41" s="260"/>
      <c r="D41" s="261"/>
      <c r="E41" s="261"/>
      <c r="F41" s="218"/>
      <c r="G41" s="262"/>
      <c r="H41" s="260"/>
      <c r="I41" s="261"/>
      <c r="J41" s="261"/>
      <c r="K41" s="218"/>
      <c r="L41" s="218"/>
      <c r="M41" s="218"/>
      <c r="N41" s="218"/>
      <c r="O41" s="218"/>
      <c r="P41" s="218"/>
      <c r="Q41" s="218"/>
    </row>
    <row r="42" spans="1:17" ht="50.1" customHeight="1">
      <c r="A42" s="218"/>
      <c r="B42" s="575"/>
      <c r="C42" s="575"/>
      <c r="D42" s="261"/>
      <c r="E42" s="576"/>
      <c r="F42" s="576"/>
      <c r="G42" s="577"/>
      <c r="H42" s="577"/>
      <c r="I42" s="261"/>
      <c r="J42" s="261"/>
      <c r="K42" s="218"/>
      <c r="L42" s="218"/>
      <c r="M42" s="218"/>
      <c r="N42" s="218"/>
      <c r="O42" s="218"/>
      <c r="P42" s="218"/>
      <c r="Q42" s="218"/>
    </row>
    <row r="43" spans="1:17" ht="14.1" customHeight="1">
      <c r="A43" s="218"/>
      <c r="B43" s="543" t="s">
        <v>1011</v>
      </c>
      <c r="C43" s="543"/>
      <c r="D43" s="275"/>
      <c r="E43" s="543" t="s">
        <v>1011</v>
      </c>
      <c r="F43" s="543"/>
      <c r="G43" s="578"/>
      <c r="H43" s="578"/>
      <c r="I43" s="237"/>
      <c r="J43" s="218"/>
      <c r="P43" s="218"/>
      <c r="Q43" s="218"/>
    </row>
    <row r="44" spans="1:17" ht="39.75" customHeight="1">
      <c r="A44" s="218"/>
      <c r="B44" s="538" t="s">
        <v>1012</v>
      </c>
      <c r="C44" s="538"/>
      <c r="D44" s="244"/>
      <c r="E44" s="538" t="s">
        <v>1012</v>
      </c>
      <c r="F44" s="538"/>
      <c r="G44" s="538"/>
      <c r="H44" s="538"/>
      <c r="I44" s="237"/>
      <c r="J44" s="218"/>
      <c r="P44" s="218"/>
      <c r="Q44" s="218"/>
    </row>
    <row r="45" spans="1:17">
      <c r="B45" s="218"/>
      <c r="C45" s="218"/>
      <c r="D45" s="284"/>
      <c r="E45" s="218"/>
      <c r="F45" s="218"/>
      <c r="G45" s="218"/>
    </row>
    <row r="46" spans="1:17">
      <c r="B46" s="218"/>
      <c r="C46" s="218"/>
      <c r="D46" s="284"/>
      <c r="E46" s="218"/>
      <c r="F46" s="218"/>
      <c r="G46" s="218"/>
    </row>
  </sheetData>
  <sheetProtection formatCells="0" selectLockedCells="1"/>
  <mergeCells count="41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25" zoomScaleNormal="100" workbookViewId="0">
      <selection activeCell="H46" sqref="H46"/>
    </sheetView>
  </sheetViews>
  <sheetFormatPr baseColWidth="10" defaultRowHeight="12"/>
  <cols>
    <col min="1" max="1" width="4.85546875" style="338" customWidth="1"/>
    <col min="2" max="2" width="14.5703125" style="338" customWidth="1"/>
    <col min="3" max="3" width="18.85546875" style="338" customWidth="1"/>
    <col min="4" max="4" width="21.85546875" style="338" customWidth="1"/>
    <col min="5" max="5" width="3.42578125" style="338" customWidth="1"/>
    <col min="6" max="6" width="22.28515625" style="338" customWidth="1"/>
    <col min="7" max="7" width="29.7109375" style="338" customWidth="1"/>
    <col min="8" max="8" width="15.28515625" style="338" customWidth="1"/>
    <col min="9" max="9" width="13.85546875" style="338" customWidth="1"/>
    <col min="10" max="10" width="3.7109375" style="338" customWidth="1"/>
    <col min="11" max="16384" width="11.42578125" style="193"/>
  </cols>
  <sheetData>
    <row r="1" spans="1:17" s="179" customFormat="1" ht="6" customHeight="1">
      <c r="A1" s="190"/>
      <c r="B1" s="337"/>
      <c r="C1" s="184"/>
      <c r="D1" s="211"/>
      <c r="E1" s="211"/>
      <c r="F1" s="211"/>
      <c r="G1" s="211"/>
      <c r="H1" s="211"/>
      <c r="I1" s="211"/>
      <c r="J1" s="211"/>
      <c r="K1" s="338"/>
      <c r="P1" s="193"/>
      <c r="Q1" s="193"/>
    </row>
    <row r="2" spans="1:17" ht="6" customHeight="1">
      <c r="A2" s="193"/>
      <c r="B2" s="339"/>
      <c r="C2" s="193"/>
      <c r="D2" s="193"/>
      <c r="E2" s="193"/>
      <c r="F2" s="193"/>
      <c r="G2" s="193"/>
      <c r="H2" s="193"/>
      <c r="I2" s="193"/>
      <c r="J2" s="193"/>
    </row>
    <row r="3" spans="1:17" ht="6" customHeight="1"/>
    <row r="4" spans="1:17" ht="14.1" customHeight="1">
      <c r="B4" s="340"/>
      <c r="C4" s="596" t="s">
        <v>1018</v>
      </c>
      <c r="D4" s="596"/>
      <c r="E4" s="596"/>
      <c r="F4" s="596"/>
      <c r="G4" s="596"/>
      <c r="H4" s="596"/>
      <c r="I4" s="340"/>
      <c r="J4" s="340"/>
    </row>
    <row r="5" spans="1:17" ht="14.1" customHeight="1">
      <c r="B5" s="340"/>
      <c r="C5" s="596" t="s">
        <v>155</v>
      </c>
      <c r="D5" s="596"/>
      <c r="E5" s="596"/>
      <c r="F5" s="596"/>
      <c r="G5" s="596"/>
      <c r="H5" s="596"/>
      <c r="I5" s="340"/>
      <c r="J5" s="340"/>
    </row>
    <row r="6" spans="1:17" ht="14.1" customHeight="1">
      <c r="B6" s="340"/>
      <c r="C6" s="596" t="s">
        <v>1020</v>
      </c>
      <c r="D6" s="596"/>
      <c r="E6" s="596"/>
      <c r="F6" s="596"/>
      <c r="G6" s="596"/>
      <c r="H6" s="596"/>
      <c r="I6" s="340"/>
      <c r="J6" s="340"/>
    </row>
    <row r="7" spans="1:17" ht="14.1" customHeight="1">
      <c r="B7" s="340"/>
      <c r="C7" s="596" t="s">
        <v>1</v>
      </c>
      <c r="D7" s="596"/>
      <c r="E7" s="596"/>
      <c r="F7" s="596"/>
      <c r="G7" s="596"/>
      <c r="H7" s="596"/>
      <c r="I7" s="340"/>
      <c r="J7" s="340"/>
    </row>
    <row r="8" spans="1:17" ht="6" customHeight="1">
      <c r="A8" s="341"/>
      <c r="B8" s="597"/>
      <c r="C8" s="597"/>
      <c r="D8" s="598"/>
      <c r="E8" s="598"/>
      <c r="F8" s="598"/>
      <c r="G8" s="598"/>
      <c r="H8" s="598"/>
      <c r="I8" s="598"/>
      <c r="J8" s="342"/>
    </row>
    <row r="9" spans="1:17" ht="20.100000000000001" customHeight="1">
      <c r="A9" s="341"/>
      <c r="B9" s="343" t="s">
        <v>4</v>
      </c>
      <c r="C9" s="551" t="s">
        <v>1010</v>
      </c>
      <c r="D9" s="551"/>
      <c r="E9" s="551"/>
      <c r="F9" s="551"/>
      <c r="G9" s="551"/>
      <c r="H9" s="551"/>
      <c r="I9" s="551"/>
      <c r="J9" s="551"/>
    </row>
    <row r="10" spans="1:17" ht="5.0999999999999996" customHeight="1">
      <c r="A10" s="344"/>
      <c r="B10" s="599"/>
      <c r="C10" s="599"/>
      <c r="D10" s="599"/>
      <c r="E10" s="599"/>
      <c r="F10" s="599"/>
      <c r="G10" s="599"/>
      <c r="H10" s="599"/>
      <c r="I10" s="599"/>
      <c r="J10" s="599"/>
    </row>
    <row r="11" spans="1:17" ht="3" customHeight="1">
      <c r="A11" s="344"/>
      <c r="B11" s="599"/>
      <c r="C11" s="599"/>
      <c r="D11" s="599"/>
      <c r="E11" s="599"/>
      <c r="F11" s="599"/>
      <c r="G11" s="599"/>
      <c r="H11" s="599"/>
      <c r="I11" s="599"/>
      <c r="J11" s="599"/>
    </row>
    <row r="12" spans="1:17" ht="30" customHeight="1">
      <c r="A12" s="345"/>
      <c r="B12" s="600" t="s">
        <v>156</v>
      </c>
      <c r="C12" s="600"/>
      <c r="D12" s="600"/>
      <c r="E12" s="346"/>
      <c r="F12" s="347" t="s">
        <v>157</v>
      </c>
      <c r="G12" s="347" t="s">
        <v>158</v>
      </c>
      <c r="H12" s="346" t="s">
        <v>159</v>
      </c>
      <c r="I12" s="346" t="s">
        <v>160</v>
      </c>
      <c r="J12" s="348"/>
    </row>
    <row r="13" spans="1:17" ht="3" customHeight="1">
      <c r="A13" s="349"/>
      <c r="B13" s="599"/>
      <c r="C13" s="599"/>
      <c r="D13" s="599"/>
      <c r="E13" s="599"/>
      <c r="F13" s="599"/>
      <c r="G13" s="599"/>
      <c r="H13" s="599"/>
      <c r="I13" s="599"/>
      <c r="J13" s="601"/>
    </row>
    <row r="14" spans="1:17" ht="9.9499999999999993" customHeight="1">
      <c r="A14" s="350"/>
      <c r="B14" s="594"/>
      <c r="C14" s="594"/>
      <c r="D14" s="594"/>
      <c r="E14" s="594"/>
      <c r="F14" s="594"/>
      <c r="G14" s="594"/>
      <c r="H14" s="594"/>
      <c r="I14" s="594"/>
      <c r="J14" s="595"/>
    </row>
    <row r="15" spans="1:17">
      <c r="A15" s="350"/>
      <c r="B15" s="592" t="s">
        <v>161</v>
      </c>
      <c r="C15" s="592"/>
      <c r="D15" s="592"/>
      <c r="E15" s="351"/>
      <c r="F15" s="351"/>
      <c r="G15" s="351"/>
      <c r="H15" s="351"/>
      <c r="I15" s="351"/>
      <c r="J15" s="352"/>
    </row>
    <row r="16" spans="1:17">
      <c r="A16" s="353"/>
      <c r="B16" s="590" t="s">
        <v>162</v>
      </c>
      <c r="C16" s="590"/>
      <c r="D16" s="590"/>
      <c r="E16" s="354"/>
      <c r="F16" s="354"/>
      <c r="G16" s="354"/>
      <c r="H16" s="354"/>
      <c r="I16" s="354"/>
      <c r="J16" s="355"/>
    </row>
    <row r="17" spans="1:10">
      <c r="A17" s="353"/>
      <c r="B17" s="592" t="s">
        <v>163</v>
      </c>
      <c r="C17" s="592"/>
      <c r="D17" s="592"/>
      <c r="E17" s="354"/>
      <c r="F17" s="356"/>
      <c r="G17" s="356"/>
      <c r="H17" s="295">
        <f>SUM(H18:H20)</f>
        <v>0</v>
      </c>
      <c r="I17" s="295">
        <f>SUM(I18:I20)</f>
        <v>0</v>
      </c>
      <c r="J17" s="357"/>
    </row>
    <row r="18" spans="1:10">
      <c r="A18" s="358"/>
      <c r="B18" s="359"/>
      <c r="C18" s="591" t="s">
        <v>164</v>
      </c>
      <c r="D18" s="591"/>
      <c r="E18" s="354"/>
      <c r="F18" s="360"/>
      <c r="G18" s="360"/>
      <c r="H18" s="361">
        <v>0</v>
      </c>
      <c r="I18" s="361">
        <v>0</v>
      </c>
      <c r="J18" s="362"/>
    </row>
    <row r="19" spans="1:10">
      <c r="A19" s="358"/>
      <c r="B19" s="359"/>
      <c r="C19" s="591" t="s">
        <v>165</v>
      </c>
      <c r="D19" s="591"/>
      <c r="E19" s="354"/>
      <c r="F19" s="360"/>
      <c r="G19" s="360"/>
      <c r="H19" s="361">
        <v>0</v>
      </c>
      <c r="I19" s="361">
        <v>0</v>
      </c>
      <c r="J19" s="362"/>
    </row>
    <row r="20" spans="1:10">
      <c r="A20" s="358"/>
      <c r="B20" s="359"/>
      <c r="C20" s="591" t="s">
        <v>166</v>
      </c>
      <c r="D20" s="591"/>
      <c r="E20" s="354"/>
      <c r="F20" s="360"/>
      <c r="G20" s="360"/>
      <c r="H20" s="361">
        <v>0</v>
      </c>
      <c r="I20" s="361">
        <v>0</v>
      </c>
      <c r="J20" s="362"/>
    </row>
    <row r="21" spans="1:10" ht="9.9499999999999993" customHeight="1">
      <c r="A21" s="358"/>
      <c r="B21" s="359"/>
      <c r="C21" s="359"/>
      <c r="D21" s="363"/>
      <c r="E21" s="354"/>
      <c r="F21" s="364"/>
      <c r="G21" s="364"/>
      <c r="H21" s="365"/>
      <c r="I21" s="365"/>
      <c r="J21" s="362"/>
    </row>
    <row r="22" spans="1:10">
      <c r="A22" s="353"/>
      <c r="B22" s="592" t="s">
        <v>167</v>
      </c>
      <c r="C22" s="592"/>
      <c r="D22" s="592"/>
      <c r="E22" s="354"/>
      <c r="F22" s="356"/>
      <c r="G22" s="356"/>
      <c r="H22" s="295">
        <f>SUM(H23:H26)</f>
        <v>0</v>
      </c>
      <c r="I22" s="295">
        <f>SUM(I23:I26)</f>
        <v>0</v>
      </c>
      <c r="J22" s="357"/>
    </row>
    <row r="23" spans="1:10">
      <c r="A23" s="358"/>
      <c r="B23" s="359"/>
      <c r="C23" s="591" t="s">
        <v>168</v>
      </c>
      <c r="D23" s="591"/>
      <c r="E23" s="354"/>
      <c r="F23" s="360"/>
      <c r="G23" s="360"/>
      <c r="H23" s="361">
        <v>0</v>
      </c>
      <c r="I23" s="361">
        <v>0</v>
      </c>
      <c r="J23" s="362"/>
    </row>
    <row r="24" spans="1:10">
      <c r="A24" s="358"/>
      <c r="B24" s="359"/>
      <c r="C24" s="591" t="s">
        <v>169</v>
      </c>
      <c r="D24" s="591"/>
      <c r="E24" s="354"/>
      <c r="F24" s="360"/>
      <c r="G24" s="360"/>
      <c r="H24" s="361">
        <v>0</v>
      </c>
      <c r="I24" s="361">
        <v>0</v>
      </c>
      <c r="J24" s="362"/>
    </row>
    <row r="25" spans="1:10">
      <c r="A25" s="358"/>
      <c r="B25" s="359"/>
      <c r="C25" s="591" t="s">
        <v>165</v>
      </c>
      <c r="D25" s="591"/>
      <c r="E25" s="354"/>
      <c r="F25" s="360"/>
      <c r="G25" s="360"/>
      <c r="H25" s="361">
        <v>0</v>
      </c>
      <c r="I25" s="361">
        <v>0</v>
      </c>
      <c r="J25" s="362"/>
    </row>
    <row r="26" spans="1:10">
      <c r="A26" s="358"/>
      <c r="B26" s="339"/>
      <c r="C26" s="591" t="s">
        <v>166</v>
      </c>
      <c r="D26" s="591"/>
      <c r="E26" s="354"/>
      <c r="F26" s="360"/>
      <c r="G26" s="360"/>
      <c r="H26" s="366">
        <v>0</v>
      </c>
      <c r="I26" s="366">
        <v>0</v>
      </c>
      <c r="J26" s="362"/>
    </row>
    <row r="27" spans="1:10" ht="9.9499999999999993" customHeight="1">
      <c r="A27" s="358"/>
      <c r="B27" s="359"/>
      <c r="C27" s="359"/>
      <c r="D27" s="363"/>
      <c r="E27" s="354"/>
      <c r="F27" s="367"/>
      <c r="G27" s="367"/>
      <c r="H27" s="368"/>
      <c r="I27" s="368"/>
      <c r="J27" s="362"/>
    </row>
    <row r="28" spans="1:10">
      <c r="A28" s="369"/>
      <c r="B28" s="593" t="s">
        <v>170</v>
      </c>
      <c r="C28" s="593"/>
      <c r="D28" s="593"/>
      <c r="E28" s="370"/>
      <c r="F28" s="371"/>
      <c r="G28" s="371"/>
      <c r="H28" s="372">
        <f>H17+H22</f>
        <v>0</v>
      </c>
      <c r="I28" s="372">
        <f>I17+I22</f>
        <v>0</v>
      </c>
      <c r="J28" s="373"/>
    </row>
    <row r="29" spans="1:10">
      <c r="A29" s="353"/>
      <c r="B29" s="359"/>
      <c r="C29" s="359"/>
      <c r="D29" s="374"/>
      <c r="E29" s="354"/>
      <c r="F29" s="367"/>
      <c r="G29" s="367"/>
      <c r="H29" s="368"/>
      <c r="I29" s="368"/>
      <c r="J29" s="357"/>
    </row>
    <row r="30" spans="1:10">
      <c r="A30" s="353"/>
      <c r="B30" s="590" t="s">
        <v>171</v>
      </c>
      <c r="C30" s="590"/>
      <c r="D30" s="590"/>
      <c r="E30" s="354"/>
      <c r="F30" s="367"/>
      <c r="G30" s="367"/>
      <c r="H30" s="368"/>
      <c r="I30" s="368"/>
      <c r="J30" s="357"/>
    </row>
    <row r="31" spans="1:10">
      <c r="A31" s="353"/>
      <c r="B31" s="592" t="s">
        <v>163</v>
      </c>
      <c r="C31" s="592"/>
      <c r="D31" s="592"/>
      <c r="E31" s="354"/>
      <c r="F31" s="356"/>
      <c r="G31" s="356"/>
      <c r="H31" s="295">
        <f>SUM(H32:H34)</f>
        <v>0</v>
      </c>
      <c r="I31" s="295">
        <f>SUM(I32:I34)</f>
        <v>0</v>
      </c>
      <c r="J31" s="357"/>
    </row>
    <row r="32" spans="1:10">
      <c r="A32" s="358"/>
      <c r="B32" s="359"/>
      <c r="C32" s="591" t="s">
        <v>164</v>
      </c>
      <c r="D32" s="591"/>
      <c r="E32" s="354"/>
      <c r="F32" s="360"/>
      <c r="G32" s="360"/>
      <c r="H32" s="361">
        <v>0</v>
      </c>
      <c r="I32" s="361">
        <v>0</v>
      </c>
      <c r="J32" s="362"/>
    </row>
    <row r="33" spans="1:10">
      <c r="A33" s="358"/>
      <c r="B33" s="339"/>
      <c r="C33" s="591" t="s">
        <v>165</v>
      </c>
      <c r="D33" s="591"/>
      <c r="E33" s="339"/>
      <c r="F33" s="375"/>
      <c r="G33" s="375"/>
      <c r="H33" s="361">
        <v>0</v>
      </c>
      <c r="I33" s="361">
        <v>0</v>
      </c>
      <c r="J33" s="362"/>
    </row>
    <row r="34" spans="1:10">
      <c r="A34" s="358"/>
      <c r="B34" s="339"/>
      <c r="C34" s="591" t="s">
        <v>166</v>
      </c>
      <c r="D34" s="591"/>
      <c r="E34" s="339"/>
      <c r="F34" s="375"/>
      <c r="G34" s="375"/>
      <c r="H34" s="361">
        <v>0</v>
      </c>
      <c r="I34" s="361">
        <v>0</v>
      </c>
      <c r="J34" s="362"/>
    </row>
    <row r="35" spans="1:10" ht="9.9499999999999993" customHeight="1">
      <c r="A35" s="358"/>
      <c r="B35" s="359"/>
      <c r="C35" s="359"/>
      <c r="D35" s="363"/>
      <c r="E35" s="354"/>
      <c r="F35" s="367"/>
      <c r="G35" s="367"/>
      <c r="H35" s="368"/>
      <c r="I35" s="368"/>
      <c r="J35" s="362"/>
    </row>
    <row r="36" spans="1:10">
      <c r="A36" s="353"/>
      <c r="B36" s="592" t="s">
        <v>167</v>
      </c>
      <c r="C36" s="592"/>
      <c r="D36" s="592"/>
      <c r="E36" s="354"/>
      <c r="F36" s="356"/>
      <c r="G36" s="356"/>
      <c r="H36" s="295">
        <f>SUM(H37:H40)</f>
        <v>0</v>
      </c>
      <c r="I36" s="295">
        <f>SUM(I37:I40)</f>
        <v>0</v>
      </c>
      <c r="J36" s="357"/>
    </row>
    <row r="37" spans="1:10">
      <c r="A37" s="358"/>
      <c r="B37" s="359"/>
      <c r="C37" s="591" t="s">
        <v>168</v>
      </c>
      <c r="D37" s="591"/>
      <c r="E37" s="354"/>
      <c r="F37" s="360"/>
      <c r="G37" s="360"/>
      <c r="H37" s="361">
        <v>0</v>
      </c>
      <c r="I37" s="361">
        <v>0</v>
      </c>
      <c r="J37" s="362"/>
    </row>
    <row r="38" spans="1:10">
      <c r="A38" s="358"/>
      <c r="B38" s="359"/>
      <c r="C38" s="591" t="s">
        <v>169</v>
      </c>
      <c r="D38" s="591"/>
      <c r="E38" s="354"/>
      <c r="F38" s="360"/>
      <c r="G38" s="360"/>
      <c r="H38" s="361">
        <v>0</v>
      </c>
      <c r="I38" s="361">
        <v>0</v>
      </c>
      <c r="J38" s="362"/>
    </row>
    <row r="39" spans="1:10">
      <c r="A39" s="358"/>
      <c r="B39" s="359"/>
      <c r="C39" s="591" t="s">
        <v>165</v>
      </c>
      <c r="D39" s="591"/>
      <c r="E39" s="354"/>
      <c r="F39" s="360"/>
      <c r="G39" s="360"/>
      <c r="H39" s="361">
        <v>0</v>
      </c>
      <c r="I39" s="361">
        <v>0</v>
      </c>
      <c r="J39" s="362"/>
    </row>
    <row r="40" spans="1:10">
      <c r="A40" s="358"/>
      <c r="B40" s="354"/>
      <c r="C40" s="591" t="s">
        <v>166</v>
      </c>
      <c r="D40" s="591"/>
      <c r="E40" s="354"/>
      <c r="F40" s="360"/>
      <c r="G40" s="360"/>
      <c r="H40" s="361">
        <v>0</v>
      </c>
      <c r="I40" s="361">
        <v>0</v>
      </c>
      <c r="J40" s="362"/>
    </row>
    <row r="41" spans="1:10" ht="9.9499999999999993" customHeight="1">
      <c r="A41" s="358"/>
      <c r="B41" s="354"/>
      <c r="C41" s="354"/>
      <c r="D41" s="363"/>
      <c r="E41" s="354"/>
      <c r="F41" s="367"/>
      <c r="G41" s="367"/>
      <c r="H41" s="368"/>
      <c r="I41" s="368"/>
      <c r="J41" s="362"/>
    </row>
    <row r="42" spans="1:10">
      <c r="A42" s="369"/>
      <c r="B42" s="593" t="s">
        <v>172</v>
      </c>
      <c r="C42" s="593"/>
      <c r="D42" s="593"/>
      <c r="E42" s="370"/>
      <c r="F42" s="376"/>
      <c r="G42" s="376"/>
      <c r="H42" s="372">
        <f>+H31+H36</f>
        <v>0</v>
      </c>
      <c r="I42" s="372">
        <f>+I31+I36</f>
        <v>0</v>
      </c>
      <c r="J42" s="373"/>
    </row>
    <row r="43" spans="1:10">
      <c r="A43" s="358"/>
      <c r="B43" s="359"/>
      <c r="C43" s="359"/>
      <c r="D43" s="363"/>
      <c r="E43" s="354"/>
      <c r="F43" s="367"/>
      <c r="G43" s="367"/>
      <c r="H43" s="368"/>
      <c r="I43" s="368"/>
      <c r="J43" s="362"/>
    </row>
    <row r="44" spans="1:10">
      <c r="A44" s="358"/>
      <c r="B44" s="592" t="s">
        <v>173</v>
      </c>
      <c r="C44" s="592"/>
      <c r="D44" s="592"/>
      <c r="E44" s="354"/>
      <c r="F44" s="360" t="s">
        <v>1013</v>
      </c>
      <c r="G44" s="360" t="s">
        <v>1014</v>
      </c>
      <c r="H44" s="377">
        <v>21367</v>
      </c>
      <c r="I44" s="377">
        <v>84256</v>
      </c>
      <c r="J44" s="362"/>
    </row>
    <row r="45" spans="1:10">
      <c r="A45" s="358"/>
      <c r="B45" s="359"/>
      <c r="C45" s="359"/>
      <c r="D45" s="363"/>
      <c r="E45" s="354"/>
      <c r="F45" s="367"/>
      <c r="G45" s="367"/>
      <c r="H45" s="368"/>
      <c r="I45" s="368"/>
      <c r="J45" s="362"/>
    </row>
    <row r="46" spans="1:10">
      <c r="A46" s="378"/>
      <c r="B46" s="589" t="s">
        <v>174</v>
      </c>
      <c r="C46" s="589"/>
      <c r="D46" s="589"/>
      <c r="E46" s="379"/>
      <c r="F46" s="380"/>
      <c r="G46" s="380"/>
      <c r="H46" s="381">
        <v>21367</v>
      </c>
      <c r="I46" s="381">
        <v>84256</v>
      </c>
      <c r="J46" s="382"/>
    </row>
    <row r="47" spans="1:10" ht="6" customHeight="1">
      <c r="B47" s="590"/>
      <c r="C47" s="590"/>
      <c r="D47" s="590"/>
      <c r="E47" s="590"/>
      <c r="F47" s="590"/>
      <c r="G47" s="590"/>
      <c r="H47" s="590"/>
      <c r="I47" s="590"/>
      <c r="J47" s="590"/>
    </row>
    <row r="48" spans="1:10" ht="6" customHeight="1">
      <c r="B48" s="383"/>
      <c r="C48" s="383"/>
      <c r="D48" s="384"/>
      <c r="E48" s="385"/>
      <c r="F48" s="384"/>
      <c r="G48" s="385"/>
      <c r="H48" s="385"/>
      <c r="I48" s="385"/>
    </row>
    <row r="49" spans="1:10" s="179" customFormat="1" ht="15" customHeight="1">
      <c r="A49" s="193"/>
      <c r="B49" s="591" t="s">
        <v>78</v>
      </c>
      <c r="C49" s="591"/>
      <c r="D49" s="591"/>
      <c r="E49" s="591"/>
      <c r="F49" s="591"/>
      <c r="G49" s="591"/>
      <c r="H49" s="591"/>
      <c r="I49" s="591"/>
      <c r="J49" s="591"/>
    </row>
    <row r="50" spans="1:10" s="179" customFormat="1" ht="28.5" customHeight="1">
      <c r="A50" s="193"/>
      <c r="B50" s="363"/>
      <c r="C50" s="386"/>
      <c r="D50" s="387"/>
      <c r="E50" s="387"/>
      <c r="F50" s="193"/>
      <c r="G50" s="388"/>
      <c r="H50" s="389" t="str">
        <f>IF(H46=ESF!J40," ","ERROR")</f>
        <v xml:space="preserve"> </v>
      </c>
      <c r="I50" s="389" t="str">
        <f>IF(I46=ESF!I40," ","ERROR")</f>
        <v xml:space="preserve"> </v>
      </c>
      <c r="J50" s="387"/>
    </row>
    <row r="51" spans="1:10" s="179" customFormat="1" ht="25.5" customHeight="1">
      <c r="A51" s="193"/>
      <c r="B51" s="363"/>
      <c r="C51" s="564"/>
      <c r="D51" s="564"/>
      <c r="E51" s="387"/>
      <c r="F51" s="193"/>
      <c r="G51" s="563"/>
      <c r="H51" s="563"/>
      <c r="I51" s="387"/>
      <c r="J51" s="387"/>
    </row>
    <row r="52" spans="1:10" s="179" customFormat="1" ht="14.1" customHeight="1">
      <c r="A52" s="193"/>
      <c r="B52" s="368"/>
      <c r="C52" s="543" t="s">
        <v>1011</v>
      </c>
      <c r="D52" s="543"/>
      <c r="E52" s="387"/>
      <c r="F52" s="387"/>
      <c r="G52" s="543" t="s">
        <v>1011</v>
      </c>
      <c r="H52" s="543"/>
      <c r="I52" s="354"/>
      <c r="J52" s="387"/>
    </row>
    <row r="53" spans="1:10" s="179" customFormat="1" ht="36.75" customHeight="1">
      <c r="A53" s="193"/>
      <c r="B53" s="390"/>
      <c r="C53" s="538" t="s">
        <v>1012</v>
      </c>
      <c r="D53" s="538"/>
      <c r="E53" s="391"/>
      <c r="F53" s="391"/>
      <c r="G53" s="538" t="s">
        <v>1012</v>
      </c>
      <c r="H53" s="538"/>
      <c r="I53" s="354"/>
      <c r="J53" s="387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K47"/>
  <sheetViews>
    <sheetView topLeftCell="A7" zoomScaleNormal="100" workbookViewId="0">
      <selection activeCell="E37" sqref="E37"/>
    </sheetView>
  </sheetViews>
  <sheetFormatPr baseColWidth="10" defaultRowHeight="12"/>
  <cols>
    <col min="1" max="1" width="3.7109375" style="392" customWidth="1"/>
    <col min="2" max="2" width="11.7109375" style="413" customWidth="1"/>
    <col min="3" max="3" width="57.42578125" style="413" customWidth="1"/>
    <col min="4" max="6" width="18.7109375" style="414" customWidth="1"/>
    <col min="7" max="7" width="15.85546875" style="414" customWidth="1"/>
    <col min="8" max="8" width="12.7109375" style="414" customWidth="1"/>
    <col min="9" max="9" width="3.28515625" style="392" customWidth="1"/>
    <col min="10" max="10" width="1.5703125" style="170" customWidth="1"/>
    <col min="11" max="16384" width="11.42578125" style="170"/>
  </cols>
  <sheetData>
    <row r="1" spans="1:10" ht="6" customHeight="1">
      <c r="A1" s="184"/>
      <c r="B1" s="214"/>
      <c r="C1" s="184"/>
      <c r="D1" s="607"/>
      <c r="E1" s="607"/>
      <c r="F1" s="608"/>
      <c r="G1" s="608"/>
      <c r="H1" s="608"/>
      <c r="I1" s="608"/>
    </row>
    <row r="2" spans="1:10" s="218" customFormat="1" ht="6" customHeight="1">
      <c r="B2" s="219"/>
    </row>
    <row r="3" spans="1:10" s="218" customFormat="1" ht="14.1" customHeight="1">
      <c r="B3" s="221"/>
      <c r="C3" s="566" t="s">
        <v>1018</v>
      </c>
      <c r="D3" s="566"/>
      <c r="E3" s="566"/>
      <c r="F3" s="566"/>
      <c r="G3" s="566"/>
      <c r="H3" s="221"/>
      <c r="I3" s="221"/>
    </row>
    <row r="4" spans="1:10" ht="14.1" customHeight="1">
      <c r="B4" s="221"/>
      <c r="C4" s="566" t="s">
        <v>133</v>
      </c>
      <c r="D4" s="566"/>
      <c r="E4" s="566"/>
      <c r="F4" s="566"/>
      <c r="G4" s="566"/>
      <c r="H4" s="221"/>
      <c r="I4" s="221"/>
    </row>
    <row r="5" spans="1:10" ht="14.1" customHeight="1">
      <c r="B5" s="221"/>
      <c r="C5" s="566" t="s">
        <v>1020</v>
      </c>
      <c r="D5" s="566"/>
      <c r="E5" s="566"/>
      <c r="F5" s="566"/>
      <c r="G5" s="566"/>
      <c r="H5" s="221"/>
      <c r="I5" s="221"/>
    </row>
    <row r="6" spans="1:10" ht="14.1" customHeight="1">
      <c r="B6" s="221"/>
      <c r="C6" s="566" t="s">
        <v>134</v>
      </c>
      <c r="D6" s="566"/>
      <c r="E6" s="566"/>
      <c r="F6" s="566"/>
      <c r="G6" s="566"/>
      <c r="H6" s="221"/>
      <c r="I6" s="221"/>
    </row>
    <row r="7" spans="1:10" s="218" customFormat="1" ht="3" customHeight="1">
      <c r="A7" s="223"/>
      <c r="B7" s="224"/>
      <c r="C7" s="606"/>
      <c r="D7" s="606"/>
      <c r="E7" s="606"/>
      <c r="F7" s="606"/>
      <c r="G7" s="606"/>
      <c r="H7" s="606"/>
      <c r="I7" s="606"/>
    </row>
    <row r="8" spans="1:10" ht="20.100000000000001" customHeight="1">
      <c r="A8" s="223"/>
      <c r="B8" s="224" t="s">
        <v>4</v>
      </c>
      <c r="C8" s="551" t="s">
        <v>1010</v>
      </c>
      <c r="D8" s="551"/>
      <c r="E8" s="551"/>
      <c r="F8" s="551"/>
      <c r="G8" s="551"/>
      <c r="H8" s="551"/>
      <c r="I8" s="551"/>
      <c r="J8" s="551"/>
    </row>
    <row r="9" spans="1:10" ht="3" customHeight="1">
      <c r="A9" s="223"/>
      <c r="B9" s="223"/>
      <c r="C9" s="223" t="s">
        <v>135</v>
      </c>
      <c r="D9" s="223"/>
      <c r="E9" s="223"/>
      <c r="F9" s="223"/>
      <c r="G9" s="223"/>
      <c r="H9" s="223"/>
      <c r="I9" s="223"/>
    </row>
    <row r="10" spans="1:10" s="218" customFormat="1" ht="3" customHeight="1">
      <c r="A10" s="223"/>
      <c r="B10" s="223"/>
      <c r="C10" s="223"/>
      <c r="D10" s="223"/>
      <c r="E10" s="223"/>
      <c r="F10" s="223"/>
      <c r="G10" s="223"/>
      <c r="H10" s="223"/>
      <c r="I10" s="223"/>
    </row>
    <row r="11" spans="1:10" s="218" customFormat="1" ht="48">
      <c r="A11" s="393"/>
      <c r="B11" s="569" t="s">
        <v>76</v>
      </c>
      <c r="C11" s="569"/>
      <c r="D11" s="394" t="s">
        <v>49</v>
      </c>
      <c r="E11" s="394" t="s">
        <v>136</v>
      </c>
      <c r="F11" s="394" t="s">
        <v>137</v>
      </c>
      <c r="G11" s="394" t="s">
        <v>138</v>
      </c>
      <c r="H11" s="394" t="s">
        <v>139</v>
      </c>
      <c r="I11" s="395"/>
    </row>
    <row r="12" spans="1:10" s="218" customFormat="1" ht="3" customHeight="1">
      <c r="A12" s="396"/>
      <c r="B12" s="223"/>
      <c r="C12" s="223"/>
      <c r="D12" s="223"/>
      <c r="E12" s="223"/>
      <c r="F12" s="223"/>
      <c r="G12" s="223"/>
      <c r="H12" s="223"/>
      <c r="I12" s="397"/>
    </row>
    <row r="13" spans="1:10" s="218" customFormat="1" ht="3" customHeight="1">
      <c r="A13" s="234"/>
      <c r="B13" s="398"/>
      <c r="C13" s="238"/>
      <c r="D13" s="237"/>
      <c r="E13" s="235"/>
      <c r="F13" s="236"/>
      <c r="G13" s="219"/>
      <c r="H13" s="398"/>
      <c r="I13" s="399"/>
    </row>
    <row r="14" spans="1:10">
      <c r="A14" s="247"/>
      <c r="B14" s="559" t="s">
        <v>58</v>
      </c>
      <c r="C14" s="559"/>
      <c r="D14" s="400">
        <v>0</v>
      </c>
      <c r="E14" s="400">
        <v>4609759</v>
      </c>
      <c r="F14" s="400">
        <v>0</v>
      </c>
      <c r="G14" s="400">
        <v>0</v>
      </c>
      <c r="H14" s="401">
        <f>SUM(D14:G14)</f>
        <v>4609759</v>
      </c>
      <c r="I14" s="399"/>
    </row>
    <row r="15" spans="1:10" ht="14.25" customHeight="1">
      <c r="A15" s="247"/>
      <c r="B15" s="402"/>
      <c r="C15" s="237"/>
      <c r="D15" s="403"/>
      <c r="E15" s="403"/>
      <c r="F15" s="403"/>
      <c r="G15" s="403"/>
      <c r="H15" s="403"/>
      <c r="I15" s="399"/>
    </row>
    <row r="16" spans="1:10">
      <c r="A16" s="247"/>
      <c r="B16" s="605" t="s">
        <v>140</v>
      </c>
      <c r="C16" s="605"/>
      <c r="D16" s="404">
        <f>SUM(D17:D19)</f>
        <v>0</v>
      </c>
      <c r="E16" s="404">
        <f>SUM(E17:E19)</f>
        <v>0</v>
      </c>
      <c r="F16" s="404">
        <f>SUM(F17:F19)</f>
        <v>0</v>
      </c>
      <c r="G16" s="404">
        <f>SUM(G17:G19)</f>
        <v>0</v>
      </c>
      <c r="H16" s="404">
        <f>SUM(D16:G16)</f>
        <v>0</v>
      </c>
      <c r="I16" s="399"/>
    </row>
    <row r="17" spans="1:11">
      <c r="A17" s="234"/>
      <c r="B17" s="558" t="s">
        <v>141</v>
      </c>
      <c r="C17" s="558"/>
      <c r="D17" s="405">
        <v>0</v>
      </c>
      <c r="E17" s="405">
        <v>0</v>
      </c>
      <c r="F17" s="405">
        <v>0</v>
      </c>
      <c r="G17" s="405">
        <v>0</v>
      </c>
      <c r="H17" s="403">
        <f t="shared" ref="H17:H25" si="0">SUM(D17:G17)</f>
        <v>0</v>
      </c>
      <c r="I17" s="399"/>
    </row>
    <row r="18" spans="1:11">
      <c r="A18" s="234"/>
      <c r="B18" s="558" t="s">
        <v>51</v>
      </c>
      <c r="C18" s="558"/>
      <c r="D18" s="405">
        <v>0</v>
      </c>
      <c r="E18" s="405">
        <v>0</v>
      </c>
      <c r="F18" s="405">
        <v>0</v>
      </c>
      <c r="G18" s="405">
        <v>0</v>
      </c>
      <c r="H18" s="403">
        <f t="shared" si="0"/>
        <v>0</v>
      </c>
      <c r="I18" s="399"/>
    </row>
    <row r="19" spans="1:11">
      <c r="A19" s="234"/>
      <c r="B19" s="558" t="s">
        <v>142</v>
      </c>
      <c r="C19" s="558"/>
      <c r="D19" s="405">
        <v>0</v>
      </c>
      <c r="E19" s="405">
        <v>0</v>
      </c>
      <c r="F19" s="405">
        <v>0</v>
      </c>
      <c r="G19" s="405">
        <v>0</v>
      </c>
      <c r="H19" s="403">
        <f t="shared" si="0"/>
        <v>0</v>
      </c>
      <c r="I19" s="399"/>
    </row>
    <row r="20" spans="1:11" ht="9.9499999999999993" customHeight="1">
      <c r="A20" s="247"/>
      <c r="B20" s="402"/>
      <c r="C20" s="237"/>
      <c r="D20" s="403"/>
      <c r="E20" s="403"/>
      <c r="F20" s="403"/>
      <c r="G20" s="403"/>
      <c r="H20" s="403"/>
      <c r="I20" s="399"/>
    </row>
    <row r="21" spans="1:11">
      <c r="A21" s="247"/>
      <c r="B21" s="605" t="s">
        <v>143</v>
      </c>
      <c r="C21" s="605"/>
      <c r="D21" s="404">
        <f>SUM(D22:D25)</f>
        <v>0</v>
      </c>
      <c r="E21" s="404">
        <f>SUM(E22:E25)</f>
        <v>349594</v>
      </c>
      <c r="F21" s="404">
        <f>SUM(F22:F25)</f>
        <v>811109</v>
      </c>
      <c r="G21" s="404">
        <f>SUM(G22:G25)</f>
        <v>0</v>
      </c>
      <c r="H21" s="404">
        <f t="shared" si="0"/>
        <v>1160703</v>
      </c>
      <c r="I21" s="399"/>
    </row>
    <row r="22" spans="1:11">
      <c r="A22" s="234"/>
      <c r="B22" s="558" t="s">
        <v>144</v>
      </c>
      <c r="C22" s="558"/>
      <c r="D22" s="405">
        <v>0</v>
      </c>
      <c r="E22" s="405">
        <v>0</v>
      </c>
      <c r="F22" s="405">
        <f>+ESF!J52</f>
        <v>811109</v>
      </c>
      <c r="G22" s="405">
        <v>0</v>
      </c>
      <c r="H22" s="403">
        <f t="shared" si="0"/>
        <v>811109</v>
      </c>
      <c r="I22" s="399"/>
    </row>
    <row r="23" spans="1:11">
      <c r="A23" s="234"/>
      <c r="B23" s="558" t="s">
        <v>55</v>
      </c>
      <c r="C23" s="558"/>
      <c r="D23" s="405">
        <v>0</v>
      </c>
      <c r="E23" s="405">
        <v>349594</v>
      </c>
      <c r="F23" s="405">
        <v>0</v>
      </c>
      <c r="G23" s="405">
        <v>0</v>
      </c>
      <c r="H23" s="403">
        <f t="shared" si="0"/>
        <v>349594</v>
      </c>
      <c r="I23" s="399"/>
    </row>
    <row r="24" spans="1:11">
      <c r="A24" s="234"/>
      <c r="B24" s="558" t="s">
        <v>145</v>
      </c>
      <c r="C24" s="558"/>
      <c r="D24" s="405">
        <v>0</v>
      </c>
      <c r="E24" s="405">
        <v>0</v>
      </c>
      <c r="F24" s="405">
        <v>0</v>
      </c>
      <c r="G24" s="405">
        <v>0</v>
      </c>
      <c r="H24" s="403">
        <f t="shared" si="0"/>
        <v>0</v>
      </c>
      <c r="I24" s="399"/>
    </row>
    <row r="25" spans="1:11">
      <c r="A25" s="234"/>
      <c r="B25" s="558" t="s">
        <v>57</v>
      </c>
      <c r="C25" s="558"/>
      <c r="D25" s="405">
        <v>0</v>
      </c>
      <c r="E25" s="405">
        <v>0</v>
      </c>
      <c r="F25" s="405">
        <v>0</v>
      </c>
      <c r="G25" s="405">
        <v>0</v>
      </c>
      <c r="H25" s="403">
        <f t="shared" si="0"/>
        <v>0</v>
      </c>
      <c r="I25" s="399"/>
    </row>
    <row r="26" spans="1:11" ht="9.9499999999999993" customHeight="1">
      <c r="A26" s="247"/>
      <c r="B26" s="402"/>
      <c r="C26" s="237"/>
      <c r="D26" s="403"/>
      <c r="E26" s="403"/>
      <c r="F26" s="403"/>
      <c r="G26" s="403"/>
      <c r="H26" s="403"/>
      <c r="I26" s="399"/>
    </row>
    <row r="27" spans="1:11" ht="18.75" thickBot="1">
      <c r="A27" s="247"/>
      <c r="B27" s="604" t="s">
        <v>1024</v>
      </c>
      <c r="C27" s="604"/>
      <c r="D27" s="406">
        <f>D14+D16+D21</f>
        <v>0</v>
      </c>
      <c r="E27" s="406">
        <f>E14+E16+E21</f>
        <v>4959353</v>
      </c>
      <c r="F27" s="406">
        <f>F14+F16+F21</f>
        <v>811109</v>
      </c>
      <c r="G27" s="406">
        <f>G14+G16+G21</f>
        <v>0</v>
      </c>
      <c r="H27" s="406">
        <f>SUM(D27:G27)</f>
        <v>5770462</v>
      </c>
      <c r="I27" s="399"/>
      <c r="K27" s="407" t="str">
        <f>IF(H27=ESF!J63," ","ERROR")</f>
        <v xml:space="preserve"> </v>
      </c>
    </row>
    <row r="28" spans="1:11">
      <c r="A28" s="234"/>
      <c r="B28" s="237"/>
      <c r="C28" s="236"/>
      <c r="D28" s="403"/>
      <c r="E28" s="403"/>
      <c r="F28" s="403"/>
      <c r="G28" s="403"/>
      <c r="H28" s="403"/>
      <c r="I28" s="399"/>
    </row>
    <row r="29" spans="1:11">
      <c r="A29" s="247"/>
      <c r="B29" s="605" t="s">
        <v>1023</v>
      </c>
      <c r="C29" s="605"/>
      <c r="D29" s="404">
        <f>SUM(D30:D32)</f>
        <v>0</v>
      </c>
      <c r="E29" s="404">
        <f>SUM(E30:E32)</f>
        <v>0</v>
      </c>
      <c r="F29" s="404">
        <f>SUM(F30:F32)</f>
        <v>0</v>
      </c>
      <c r="G29" s="404">
        <f>SUM(G30:G32)</f>
        <v>0</v>
      </c>
      <c r="H29" s="404">
        <f>SUM(D29:G29)</f>
        <v>0</v>
      </c>
      <c r="I29" s="399"/>
    </row>
    <row r="30" spans="1:11">
      <c r="A30" s="234"/>
      <c r="B30" s="558" t="s">
        <v>50</v>
      </c>
      <c r="C30" s="558"/>
      <c r="D30" s="405">
        <v>0</v>
      </c>
      <c r="E30" s="405">
        <v>0</v>
      </c>
      <c r="F30" s="405">
        <v>0</v>
      </c>
      <c r="G30" s="405">
        <v>0</v>
      </c>
      <c r="H30" s="403">
        <f>SUM(D30:G30)</f>
        <v>0</v>
      </c>
      <c r="I30" s="399"/>
    </row>
    <row r="31" spans="1:11">
      <c r="A31" s="234"/>
      <c r="B31" s="558" t="s">
        <v>51</v>
      </c>
      <c r="C31" s="558"/>
      <c r="D31" s="405">
        <v>0</v>
      </c>
      <c r="E31" s="405">
        <v>0</v>
      </c>
      <c r="F31" s="405">
        <v>0</v>
      </c>
      <c r="G31" s="405">
        <v>0</v>
      </c>
      <c r="H31" s="403">
        <f>SUM(D31:G31)</f>
        <v>0</v>
      </c>
      <c r="I31" s="399"/>
    </row>
    <row r="32" spans="1:11">
      <c r="A32" s="234"/>
      <c r="B32" s="558" t="s">
        <v>142</v>
      </c>
      <c r="C32" s="558"/>
      <c r="D32" s="405">
        <v>0</v>
      </c>
      <c r="E32" s="405">
        <v>0</v>
      </c>
      <c r="F32" s="405">
        <v>0</v>
      </c>
      <c r="G32" s="405">
        <v>0</v>
      </c>
      <c r="H32" s="403">
        <f>SUM(D32:G32)</f>
        <v>0</v>
      </c>
      <c r="I32" s="399"/>
    </row>
    <row r="33" spans="1:11" ht="9.9499999999999993" customHeight="1">
      <c r="A33" s="247"/>
      <c r="B33" s="402"/>
      <c r="C33" s="237"/>
      <c r="D33" s="403"/>
      <c r="E33" s="403"/>
      <c r="F33" s="403"/>
      <c r="G33" s="403"/>
      <c r="H33" s="403"/>
      <c r="I33" s="399"/>
    </row>
    <row r="34" spans="1:11">
      <c r="A34" s="247" t="s">
        <v>135</v>
      </c>
      <c r="B34" s="605" t="s">
        <v>143</v>
      </c>
      <c r="C34" s="605"/>
      <c r="D34" s="404">
        <f>SUM(D35:D38)</f>
        <v>0</v>
      </c>
      <c r="E34" s="404">
        <f>SUM(E35:E38)</f>
        <v>733614</v>
      </c>
      <c r="F34" s="404">
        <f>SUM(F35:F38)</f>
        <v>185492</v>
      </c>
      <c r="G34" s="404">
        <f>SUM(G35:G38)</f>
        <v>0</v>
      </c>
      <c r="H34" s="404">
        <f>SUM(D34:G34)</f>
        <v>919106</v>
      </c>
      <c r="I34" s="399"/>
    </row>
    <row r="35" spans="1:11">
      <c r="A35" s="234"/>
      <c r="B35" s="558" t="s">
        <v>144</v>
      </c>
      <c r="C35" s="558"/>
      <c r="D35" s="405">
        <v>0</v>
      </c>
      <c r="E35" s="405">
        <v>0</v>
      </c>
      <c r="F35" s="405">
        <f>+ESF!I52</f>
        <v>185492</v>
      </c>
      <c r="G35" s="405">
        <v>0</v>
      </c>
      <c r="H35" s="403">
        <f>SUM(D35:G35)</f>
        <v>185492</v>
      </c>
      <c r="I35" s="399"/>
    </row>
    <row r="36" spans="1:11">
      <c r="A36" s="234"/>
      <c r="B36" s="558" t="s">
        <v>55</v>
      </c>
      <c r="C36" s="558"/>
      <c r="D36" s="405">
        <v>0</v>
      </c>
      <c r="E36" s="405">
        <v>733614</v>
      </c>
      <c r="F36" s="405">
        <v>0</v>
      </c>
      <c r="G36" s="405">
        <v>0</v>
      </c>
      <c r="H36" s="403">
        <f>SUM(D36:G36)</f>
        <v>733614</v>
      </c>
      <c r="I36" s="399"/>
    </row>
    <row r="37" spans="1:11">
      <c r="A37" s="234"/>
      <c r="B37" s="558" t="s">
        <v>145</v>
      </c>
      <c r="C37" s="558"/>
      <c r="D37" s="405">
        <v>0</v>
      </c>
      <c r="E37" s="405">
        <v>0</v>
      </c>
      <c r="F37" s="405">
        <v>0</v>
      </c>
      <c r="G37" s="405">
        <v>0</v>
      </c>
      <c r="H37" s="403">
        <f>SUM(D37:G37)</f>
        <v>0</v>
      </c>
      <c r="I37" s="399"/>
    </row>
    <row r="38" spans="1:11">
      <c r="A38" s="234"/>
      <c r="B38" s="558" t="s">
        <v>57</v>
      </c>
      <c r="C38" s="558"/>
      <c r="D38" s="405">
        <v>0</v>
      </c>
      <c r="E38" s="405">
        <v>0</v>
      </c>
      <c r="F38" s="405">
        <v>0</v>
      </c>
      <c r="G38" s="405">
        <v>0</v>
      </c>
      <c r="H38" s="403">
        <f>SUM(D38:G38)</f>
        <v>0</v>
      </c>
      <c r="I38" s="399"/>
    </row>
    <row r="39" spans="1:11" ht="9.9499999999999993" customHeight="1">
      <c r="A39" s="247"/>
      <c r="B39" s="402"/>
      <c r="C39" s="237"/>
      <c r="D39" s="403"/>
      <c r="E39" s="403"/>
      <c r="F39" s="403"/>
      <c r="G39" s="403"/>
      <c r="H39" s="403"/>
      <c r="I39" s="399"/>
    </row>
    <row r="40" spans="1:11" ht="18">
      <c r="A40" s="408"/>
      <c r="B40" s="602" t="s">
        <v>1022</v>
      </c>
      <c r="C40" s="602"/>
      <c r="D40" s="409">
        <f>D27+D29+D34</f>
        <v>0</v>
      </c>
      <c r="E40" s="409">
        <f>E27+E29+E34</f>
        <v>5692967</v>
      </c>
      <c r="F40" s="409">
        <f>F29+F34</f>
        <v>185492</v>
      </c>
      <c r="G40" s="409">
        <f>G27+G29+G34</f>
        <v>0</v>
      </c>
      <c r="H40" s="409">
        <f>SUM(D40:G40)</f>
        <v>5878459</v>
      </c>
      <c r="I40" s="410"/>
      <c r="K40" s="407" t="str">
        <f>IF(H40=ESF!I63," ","ERROR")</f>
        <v xml:space="preserve"> </v>
      </c>
    </row>
    <row r="41" spans="1:11" ht="6" customHeight="1">
      <c r="A41" s="411"/>
      <c r="B41" s="411"/>
      <c r="C41" s="411"/>
      <c r="D41" s="411"/>
      <c r="E41" s="411"/>
      <c r="F41" s="411"/>
      <c r="G41" s="411"/>
      <c r="H41" s="411"/>
      <c r="I41" s="412"/>
    </row>
    <row r="42" spans="1:11" ht="6" customHeight="1">
      <c r="D42" s="413"/>
      <c r="E42" s="413"/>
      <c r="I42" s="238"/>
    </row>
    <row r="43" spans="1:11" ht="15" customHeight="1">
      <c r="A43" s="218"/>
      <c r="B43" s="565" t="s">
        <v>78</v>
      </c>
      <c r="C43" s="565"/>
      <c r="D43" s="565"/>
      <c r="E43" s="565"/>
      <c r="F43" s="565"/>
      <c r="G43" s="565"/>
      <c r="H43" s="565"/>
      <c r="I43" s="565"/>
      <c r="J43" s="236"/>
    </row>
    <row r="44" spans="1:11" ht="9.75" customHeight="1">
      <c r="A44" s="218"/>
      <c r="B44" s="236"/>
      <c r="C44" s="260"/>
      <c r="D44" s="261"/>
      <c r="E44" s="261"/>
      <c r="F44" s="218"/>
      <c r="G44" s="262"/>
      <c r="H44" s="260"/>
      <c r="I44" s="261"/>
      <c r="J44" s="261"/>
    </row>
    <row r="45" spans="1:11" ht="50.1" customHeight="1">
      <c r="A45" s="218"/>
      <c r="B45" s="236"/>
      <c r="C45" s="564"/>
      <c r="D45" s="564"/>
      <c r="E45" s="261"/>
      <c r="F45" s="218"/>
      <c r="G45" s="603"/>
      <c r="H45" s="603"/>
      <c r="I45" s="261"/>
      <c r="J45" s="261"/>
    </row>
    <row r="46" spans="1:11" ht="14.1" customHeight="1">
      <c r="A46" s="218"/>
      <c r="B46" s="268"/>
      <c r="C46" s="543" t="s">
        <v>1011</v>
      </c>
      <c r="D46" s="543"/>
      <c r="E46" s="261"/>
      <c r="F46" s="543" t="s">
        <v>1011</v>
      </c>
      <c r="G46" s="543"/>
      <c r="H46" s="543"/>
      <c r="I46" s="237"/>
      <c r="J46" s="261"/>
    </row>
    <row r="47" spans="1:11" ht="27.75" customHeight="1">
      <c r="A47" s="218"/>
      <c r="B47" s="270"/>
      <c r="C47" s="538" t="s">
        <v>1012</v>
      </c>
      <c r="D47" s="538"/>
      <c r="E47" s="271"/>
      <c r="F47" s="538" t="s">
        <v>1012</v>
      </c>
      <c r="G47" s="538"/>
      <c r="H47" s="538"/>
      <c r="I47" s="237"/>
      <c r="J47" s="261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zoomScaleNormal="100" workbookViewId="0">
      <selection activeCell="O9" sqref="O9"/>
    </sheetView>
  </sheetViews>
  <sheetFormatPr baseColWidth="10" defaultRowHeight="12"/>
  <cols>
    <col min="1" max="1" width="1.28515625" style="275" customWidth="1"/>
    <col min="2" max="3" width="3.7109375" style="275" customWidth="1"/>
    <col min="4" max="4" width="23.85546875" style="275" customWidth="1"/>
    <col min="5" max="5" width="21.42578125" style="275" customWidth="1"/>
    <col min="6" max="6" width="17.28515625" style="275" customWidth="1"/>
    <col min="7" max="8" width="18.7109375" style="219" customWidth="1"/>
    <col min="9" max="9" width="7.7109375" style="275" customWidth="1"/>
    <col min="10" max="11" width="3.7109375" style="170" customWidth="1"/>
    <col min="12" max="15" width="18.7109375" style="170" customWidth="1"/>
    <col min="16" max="16" width="14.28515625" style="170" customWidth="1"/>
    <col min="17" max="17" width="1.85546875" style="170" customWidth="1"/>
    <col min="18" max="16384" width="11.42578125" style="170"/>
  </cols>
  <sheetData>
    <row r="1" spans="1:17" s="218" customFormat="1" ht="16.5" customHeight="1">
      <c r="B1" s="276"/>
      <c r="C1" s="276"/>
      <c r="D1" s="276"/>
      <c r="E1" s="570" t="s">
        <v>1018</v>
      </c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276"/>
      <c r="Q1" s="276"/>
    </row>
    <row r="2" spans="1:17" ht="15" customHeight="1">
      <c r="B2" s="276"/>
      <c r="C2" s="276"/>
      <c r="D2" s="276"/>
      <c r="E2" s="570" t="s">
        <v>175</v>
      </c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276"/>
      <c r="Q2" s="276"/>
    </row>
    <row r="3" spans="1:17" ht="15" customHeight="1">
      <c r="B3" s="276"/>
      <c r="C3" s="276"/>
      <c r="D3" s="276"/>
      <c r="E3" s="570" t="s">
        <v>1017</v>
      </c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276"/>
      <c r="Q3" s="276"/>
    </row>
    <row r="4" spans="1:17" ht="16.5" customHeight="1">
      <c r="B4" s="276"/>
      <c r="C4" s="276"/>
      <c r="D4" s="276"/>
      <c r="E4" s="570" t="s">
        <v>1</v>
      </c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276"/>
      <c r="Q4" s="276"/>
    </row>
    <row r="5" spans="1:17" ht="3" customHeight="1">
      <c r="C5" s="280"/>
      <c r="D5" s="415"/>
      <c r="E5" s="278"/>
      <c r="F5" s="278"/>
      <c r="G5" s="536"/>
      <c r="H5" s="278"/>
      <c r="I5" s="278"/>
      <c r="J5" s="278"/>
      <c r="K5" s="278"/>
      <c r="L5" s="278"/>
      <c r="M5" s="278"/>
      <c r="N5" s="278"/>
      <c r="O5" s="276"/>
      <c r="P5" s="218"/>
      <c r="Q5" s="218"/>
    </row>
    <row r="6" spans="1:17" ht="19.5" customHeight="1">
      <c r="A6" s="223"/>
      <c r="B6" s="566" t="s">
        <v>4</v>
      </c>
      <c r="C6" s="566"/>
      <c r="D6" s="566"/>
      <c r="E6" s="505" t="s">
        <v>1010</v>
      </c>
      <c r="F6" s="505"/>
      <c r="G6" s="505"/>
      <c r="H6" s="505"/>
      <c r="I6" s="505"/>
      <c r="J6" s="505"/>
      <c r="K6" s="505"/>
      <c r="L6" s="505"/>
      <c r="M6" s="504"/>
      <c r="N6" s="504"/>
      <c r="O6" s="537"/>
      <c r="P6" s="182"/>
      <c r="Q6" s="218"/>
    </row>
    <row r="7" spans="1:17" s="218" customFormat="1" ht="5.0999999999999996" customHeight="1">
      <c r="A7" s="275"/>
      <c r="B7" s="280"/>
      <c r="C7" s="280"/>
      <c r="D7" s="415"/>
      <c r="E7" s="280"/>
      <c r="F7" s="280"/>
      <c r="G7" s="416"/>
      <c r="H7" s="416"/>
      <c r="I7" s="415"/>
    </row>
    <row r="8" spans="1:17" s="218" customFormat="1" ht="3" customHeight="1">
      <c r="A8" s="275"/>
      <c r="B8" s="275"/>
      <c r="C8" s="417"/>
      <c r="D8" s="415"/>
      <c r="E8" s="417"/>
      <c r="F8" s="417"/>
      <c r="G8" s="418"/>
      <c r="H8" s="418"/>
      <c r="I8" s="415"/>
    </row>
    <row r="9" spans="1:17" s="218" customFormat="1" ht="31.5" customHeight="1">
      <c r="A9" s="419"/>
      <c r="B9" s="614" t="s">
        <v>76</v>
      </c>
      <c r="C9" s="614"/>
      <c r="D9" s="614"/>
      <c r="E9" s="614"/>
      <c r="F9" s="287"/>
      <c r="G9" s="286">
        <v>2016</v>
      </c>
      <c r="H9" s="286">
        <v>2015</v>
      </c>
      <c r="I9" s="420"/>
      <c r="J9" s="614" t="s">
        <v>76</v>
      </c>
      <c r="K9" s="614"/>
      <c r="L9" s="614"/>
      <c r="M9" s="614"/>
      <c r="N9" s="287"/>
      <c r="O9" s="286">
        <v>2016</v>
      </c>
      <c r="P9" s="286">
        <v>2015</v>
      </c>
      <c r="Q9" s="421"/>
    </row>
    <row r="10" spans="1:17" s="218" customFormat="1" ht="3" customHeight="1">
      <c r="A10" s="289"/>
      <c r="B10" s="275"/>
      <c r="C10" s="275"/>
      <c r="D10" s="290"/>
      <c r="E10" s="290"/>
      <c r="F10" s="290"/>
      <c r="G10" s="422"/>
      <c r="H10" s="422"/>
      <c r="I10" s="275"/>
      <c r="Q10" s="233"/>
    </row>
    <row r="11" spans="1:17" s="218" customFormat="1">
      <c r="A11" s="234"/>
      <c r="B11" s="219"/>
      <c r="C11" s="292"/>
      <c r="D11" s="292"/>
      <c r="E11" s="292"/>
      <c r="F11" s="292"/>
      <c r="G11" s="422"/>
      <c r="H11" s="422"/>
      <c r="I11" s="219"/>
      <c r="Q11" s="233"/>
    </row>
    <row r="12" spans="1:17" ht="17.25" customHeight="1">
      <c r="A12" s="234"/>
      <c r="B12" s="610" t="s">
        <v>176</v>
      </c>
      <c r="C12" s="610"/>
      <c r="D12" s="610"/>
      <c r="E12" s="610"/>
      <c r="F12" s="610"/>
      <c r="G12" s="422"/>
      <c r="H12" s="422"/>
      <c r="I12" s="219"/>
      <c r="J12" s="610" t="s">
        <v>177</v>
      </c>
      <c r="K12" s="610"/>
      <c r="L12" s="610"/>
      <c r="M12" s="610"/>
      <c r="N12" s="610"/>
      <c r="O12" s="423"/>
      <c r="P12" s="423"/>
      <c r="Q12" s="233"/>
    </row>
    <row r="13" spans="1:17" ht="17.25" customHeight="1">
      <c r="A13" s="234"/>
      <c r="B13" s="219"/>
      <c r="C13" s="292"/>
      <c r="D13" s="219"/>
      <c r="E13" s="292"/>
      <c r="F13" s="292"/>
      <c r="G13" s="422"/>
      <c r="H13" s="422"/>
      <c r="I13" s="219"/>
      <c r="J13" s="219"/>
      <c r="K13" s="292"/>
      <c r="L13" s="292"/>
      <c r="M13" s="292"/>
      <c r="N13" s="292"/>
      <c r="O13" s="423"/>
      <c r="P13" s="423"/>
      <c r="Q13" s="233"/>
    </row>
    <row r="14" spans="1:17" ht="17.25" customHeight="1">
      <c r="A14" s="234"/>
      <c r="B14" s="219"/>
      <c r="C14" s="610" t="s">
        <v>67</v>
      </c>
      <c r="D14" s="610"/>
      <c r="E14" s="610"/>
      <c r="F14" s="610"/>
      <c r="G14" s="424">
        <f>SUM(G15:G25)</f>
        <v>613530</v>
      </c>
      <c r="H14" s="424">
        <f>SUM(H15:H25)</f>
        <v>2518194</v>
      </c>
      <c r="I14" s="219"/>
      <c r="J14" s="219"/>
      <c r="K14" s="610" t="s">
        <v>67</v>
      </c>
      <c r="L14" s="610"/>
      <c r="M14" s="610"/>
      <c r="N14" s="610"/>
      <c r="O14" s="424">
        <f>SUM(O15:O17)</f>
        <v>0</v>
      </c>
      <c r="P14" s="424">
        <f>SUM(P15:P17)</f>
        <v>0</v>
      </c>
      <c r="Q14" s="233"/>
    </row>
    <row r="15" spans="1:17" ht="15" customHeight="1">
      <c r="A15" s="234"/>
      <c r="B15" s="219"/>
      <c r="C15" s="292"/>
      <c r="D15" s="609" t="s">
        <v>86</v>
      </c>
      <c r="E15" s="609"/>
      <c r="F15" s="609"/>
      <c r="G15" s="425">
        <v>0</v>
      </c>
      <c r="H15" s="425">
        <v>0</v>
      </c>
      <c r="I15" s="219"/>
      <c r="J15" s="219"/>
      <c r="K15" s="218"/>
      <c r="L15" s="611" t="s">
        <v>33</v>
      </c>
      <c r="M15" s="611"/>
      <c r="N15" s="611"/>
      <c r="O15" s="425">
        <v>0</v>
      </c>
      <c r="P15" s="425">
        <v>0</v>
      </c>
      <c r="Q15" s="233"/>
    </row>
    <row r="16" spans="1:17" ht="15" customHeight="1">
      <c r="A16" s="234"/>
      <c r="B16" s="219"/>
      <c r="C16" s="292"/>
      <c r="D16" s="609" t="s">
        <v>200</v>
      </c>
      <c r="E16" s="609"/>
      <c r="F16" s="609"/>
      <c r="G16" s="425"/>
      <c r="H16" s="425"/>
      <c r="I16" s="219"/>
      <c r="J16" s="219"/>
      <c r="K16" s="218"/>
      <c r="L16" s="611" t="s">
        <v>35</v>
      </c>
      <c r="M16" s="611"/>
      <c r="N16" s="611"/>
      <c r="O16" s="425">
        <v>0</v>
      </c>
      <c r="P16" s="425">
        <v>0</v>
      </c>
      <c r="Q16" s="233"/>
    </row>
    <row r="17" spans="1:17" ht="15" customHeight="1">
      <c r="A17" s="234"/>
      <c r="B17" s="219"/>
      <c r="C17" s="426"/>
      <c r="D17" s="609" t="s">
        <v>178</v>
      </c>
      <c r="E17" s="609"/>
      <c r="F17" s="609"/>
      <c r="G17" s="425">
        <v>0</v>
      </c>
      <c r="H17" s="425">
        <v>0</v>
      </c>
      <c r="I17" s="219"/>
      <c r="J17" s="219"/>
      <c r="K17" s="422"/>
      <c r="L17" s="611" t="s">
        <v>204</v>
      </c>
      <c r="M17" s="611"/>
      <c r="N17" s="611"/>
      <c r="O17" s="425">
        <v>0</v>
      </c>
      <c r="P17" s="425">
        <v>0</v>
      </c>
      <c r="Q17" s="233"/>
    </row>
    <row r="18" spans="1:17" ht="15" customHeight="1">
      <c r="A18" s="234"/>
      <c r="B18" s="219"/>
      <c r="C18" s="426"/>
      <c r="D18" s="609" t="s">
        <v>92</v>
      </c>
      <c r="E18" s="609"/>
      <c r="F18" s="609"/>
      <c r="G18" s="425">
        <v>0</v>
      </c>
      <c r="H18" s="425">
        <v>0</v>
      </c>
      <c r="I18" s="219"/>
      <c r="J18" s="219"/>
      <c r="K18" s="422"/>
      <c r="Q18" s="233"/>
    </row>
    <row r="19" spans="1:17" ht="15" customHeight="1">
      <c r="A19" s="234"/>
      <c r="B19" s="219"/>
      <c r="C19" s="426"/>
      <c r="D19" s="609" t="s">
        <v>93</v>
      </c>
      <c r="E19" s="609"/>
      <c r="F19" s="609"/>
      <c r="G19" s="425">
        <v>0</v>
      </c>
      <c r="H19" s="425">
        <v>0</v>
      </c>
      <c r="I19" s="219"/>
      <c r="J19" s="219"/>
      <c r="K19" s="427" t="s">
        <v>68</v>
      </c>
      <c r="L19" s="427"/>
      <c r="M19" s="427"/>
      <c r="N19" s="427"/>
      <c r="O19" s="424">
        <f>SUM(O20:O22)</f>
        <v>9994</v>
      </c>
      <c r="P19" s="424">
        <f>SUM(P20:P22)</f>
        <v>2000</v>
      </c>
      <c r="Q19" s="233"/>
    </row>
    <row r="20" spans="1:17" ht="15" customHeight="1">
      <c r="A20" s="234"/>
      <c r="B20" s="219"/>
      <c r="C20" s="426"/>
      <c r="D20" s="609" t="s">
        <v>94</v>
      </c>
      <c r="E20" s="609"/>
      <c r="F20" s="609"/>
      <c r="G20" s="425">
        <v>0</v>
      </c>
      <c r="H20" s="425">
        <v>0</v>
      </c>
      <c r="I20" s="219"/>
      <c r="J20" s="219"/>
      <c r="K20" s="422"/>
      <c r="L20" s="426" t="s">
        <v>33</v>
      </c>
      <c r="M20" s="426"/>
      <c r="N20" s="426"/>
      <c r="O20" s="425">
        <v>0</v>
      </c>
      <c r="P20" s="425">
        <v>0</v>
      </c>
      <c r="Q20" s="233"/>
    </row>
    <row r="21" spans="1:17" ht="15" customHeight="1">
      <c r="A21" s="234"/>
      <c r="B21" s="219"/>
      <c r="C21" s="426"/>
      <c r="D21" s="609" t="s">
        <v>96</v>
      </c>
      <c r="E21" s="609"/>
      <c r="F21" s="609"/>
      <c r="G21" s="425">
        <v>0</v>
      </c>
      <c r="H21" s="425">
        <v>0</v>
      </c>
      <c r="I21" s="219"/>
      <c r="J21" s="219"/>
      <c r="K21" s="422"/>
      <c r="L21" s="611" t="s">
        <v>35</v>
      </c>
      <c r="M21" s="611"/>
      <c r="N21" s="611"/>
      <c r="O21" s="425">
        <v>9994</v>
      </c>
      <c r="P21" s="425">
        <v>2000</v>
      </c>
      <c r="Q21" s="233"/>
    </row>
    <row r="22" spans="1:17" ht="28.5" customHeight="1">
      <c r="A22" s="234"/>
      <c r="B22" s="219"/>
      <c r="C22" s="426"/>
      <c r="D22" s="609" t="s">
        <v>98</v>
      </c>
      <c r="E22" s="609"/>
      <c r="F22" s="609"/>
      <c r="G22" s="425">
        <v>0</v>
      </c>
      <c r="H22" s="425">
        <v>0</v>
      </c>
      <c r="I22" s="219"/>
      <c r="J22" s="219"/>
      <c r="K22" s="218"/>
      <c r="L22" s="611" t="s">
        <v>205</v>
      </c>
      <c r="M22" s="611"/>
      <c r="N22" s="611"/>
      <c r="O22" s="425">
        <v>0</v>
      </c>
      <c r="P22" s="425">
        <v>0</v>
      </c>
      <c r="Q22" s="233"/>
    </row>
    <row r="23" spans="1:17" ht="15" customHeight="1">
      <c r="A23" s="234"/>
      <c r="B23" s="219"/>
      <c r="C23" s="426"/>
      <c r="D23" s="609" t="s">
        <v>103</v>
      </c>
      <c r="E23" s="609"/>
      <c r="F23" s="609"/>
      <c r="G23" s="425">
        <v>0</v>
      </c>
      <c r="H23" s="425">
        <v>0</v>
      </c>
      <c r="I23" s="219"/>
      <c r="J23" s="219"/>
      <c r="K23" s="610" t="s">
        <v>179</v>
      </c>
      <c r="L23" s="610"/>
      <c r="M23" s="610"/>
      <c r="N23" s="610"/>
      <c r="O23" s="424">
        <f>O14-O19</f>
        <v>-9994</v>
      </c>
      <c r="P23" s="424">
        <f>P14-P19</f>
        <v>-2000</v>
      </c>
      <c r="Q23" s="233"/>
    </row>
    <row r="24" spans="1:17" ht="15" customHeight="1">
      <c r="A24" s="234"/>
      <c r="B24" s="219"/>
      <c r="C24" s="426"/>
      <c r="D24" s="609" t="s">
        <v>201</v>
      </c>
      <c r="E24" s="609"/>
      <c r="F24" s="609"/>
      <c r="G24" s="425">
        <v>612000</v>
      </c>
      <c r="H24" s="425">
        <v>2515871</v>
      </c>
      <c r="I24" s="219"/>
      <c r="J24" s="219"/>
      <c r="Q24" s="233"/>
    </row>
    <row r="25" spans="1:17" ht="15" customHeight="1">
      <c r="A25" s="234"/>
      <c r="B25" s="219"/>
      <c r="C25" s="426"/>
      <c r="D25" s="609" t="s">
        <v>202</v>
      </c>
      <c r="E25" s="609"/>
      <c r="F25" s="331"/>
      <c r="G25" s="425">
        <v>1530</v>
      </c>
      <c r="H25" s="425">
        <v>2323</v>
      </c>
      <c r="I25" s="219"/>
      <c r="J25" s="218"/>
      <c r="Q25" s="233"/>
    </row>
    <row r="26" spans="1:17" ht="15" customHeight="1">
      <c r="A26" s="234"/>
      <c r="B26" s="219"/>
      <c r="C26" s="292"/>
      <c r="D26" s="219"/>
      <c r="E26" s="292"/>
      <c r="F26" s="292"/>
      <c r="G26" s="422"/>
      <c r="H26" s="422"/>
      <c r="I26" s="219"/>
      <c r="J26" s="610" t="s">
        <v>180</v>
      </c>
      <c r="K26" s="610"/>
      <c r="L26" s="610"/>
      <c r="M26" s="610"/>
      <c r="N26" s="610"/>
      <c r="O26" s="218"/>
      <c r="P26" s="218"/>
      <c r="Q26" s="233"/>
    </row>
    <row r="27" spans="1:17" ht="15" customHeight="1">
      <c r="A27" s="234"/>
      <c r="B27" s="219"/>
      <c r="C27" s="610" t="s">
        <v>68</v>
      </c>
      <c r="D27" s="610"/>
      <c r="E27" s="610"/>
      <c r="F27" s="610"/>
      <c r="G27" s="424">
        <f>SUM(G28:G46)</f>
        <v>505533</v>
      </c>
      <c r="H27" s="424">
        <f>SUM(H28:H46)</f>
        <v>1707085</v>
      </c>
      <c r="I27" s="219"/>
      <c r="J27" s="219"/>
      <c r="K27" s="292"/>
      <c r="L27" s="219"/>
      <c r="M27" s="331"/>
      <c r="N27" s="331"/>
      <c r="O27" s="423"/>
      <c r="P27" s="423"/>
      <c r="Q27" s="233"/>
    </row>
    <row r="28" spans="1:17" ht="15" customHeight="1">
      <c r="A28" s="234"/>
      <c r="B28" s="219"/>
      <c r="C28" s="427"/>
      <c r="D28" s="609" t="s">
        <v>181</v>
      </c>
      <c r="E28" s="609"/>
      <c r="F28" s="609"/>
      <c r="G28" s="425">
        <v>228508</v>
      </c>
      <c r="H28" s="425">
        <v>968281</v>
      </c>
      <c r="I28" s="219"/>
      <c r="J28" s="219"/>
      <c r="K28" s="427" t="s">
        <v>67</v>
      </c>
      <c r="L28" s="427"/>
      <c r="M28" s="427"/>
      <c r="N28" s="427"/>
      <c r="O28" s="424">
        <f>O29+O32</f>
        <v>62889</v>
      </c>
      <c r="P28" s="424">
        <f>P29+P32</f>
        <v>370961</v>
      </c>
      <c r="Q28" s="233"/>
    </row>
    <row r="29" spans="1:17" ht="15" customHeight="1">
      <c r="A29" s="234"/>
      <c r="B29" s="219"/>
      <c r="C29" s="427"/>
      <c r="D29" s="609" t="s">
        <v>89</v>
      </c>
      <c r="E29" s="609"/>
      <c r="F29" s="609"/>
      <c r="G29" s="425">
        <v>137446</v>
      </c>
      <c r="H29" s="425">
        <v>537115</v>
      </c>
      <c r="I29" s="219"/>
      <c r="J29" s="218"/>
      <c r="K29" s="218"/>
      <c r="L29" s="426" t="s">
        <v>182</v>
      </c>
      <c r="M29" s="426"/>
      <c r="N29" s="426"/>
      <c r="O29" s="425">
        <f>SUM(O30:O31)</f>
        <v>0</v>
      </c>
      <c r="P29" s="425">
        <f>SUM(P30:P31)</f>
        <v>0</v>
      </c>
      <c r="Q29" s="233"/>
    </row>
    <row r="30" spans="1:17" ht="15" customHeight="1">
      <c r="A30" s="234"/>
      <c r="B30" s="219"/>
      <c r="C30" s="427"/>
      <c r="D30" s="609" t="s">
        <v>91</v>
      </c>
      <c r="E30" s="609"/>
      <c r="F30" s="609"/>
      <c r="G30" s="425">
        <v>62084</v>
      </c>
      <c r="H30" s="425">
        <v>191699</v>
      </c>
      <c r="I30" s="219"/>
      <c r="J30" s="219"/>
      <c r="K30" s="427"/>
      <c r="L30" s="426" t="s">
        <v>183</v>
      </c>
      <c r="M30" s="426"/>
      <c r="N30" s="426"/>
      <c r="O30" s="425">
        <v>0</v>
      </c>
      <c r="P30" s="425">
        <v>0</v>
      </c>
      <c r="Q30" s="233"/>
    </row>
    <row r="31" spans="1:17" ht="15" customHeight="1">
      <c r="A31" s="234"/>
      <c r="B31" s="219"/>
      <c r="C31" s="292"/>
      <c r="D31" s="219"/>
      <c r="E31" s="292"/>
      <c r="F31" s="292"/>
      <c r="G31" s="422"/>
      <c r="H31" s="422"/>
      <c r="I31" s="219"/>
      <c r="J31" s="219"/>
      <c r="K31" s="427"/>
      <c r="L31" s="426" t="s">
        <v>185</v>
      </c>
      <c r="M31" s="426"/>
      <c r="N31" s="426"/>
      <c r="O31" s="425">
        <v>0</v>
      </c>
      <c r="P31" s="425">
        <v>0</v>
      </c>
      <c r="Q31" s="233"/>
    </row>
    <row r="32" spans="1:17" ht="15" customHeight="1">
      <c r="A32" s="234"/>
      <c r="B32" s="219"/>
      <c r="C32" s="427"/>
      <c r="D32" s="609" t="s">
        <v>95</v>
      </c>
      <c r="E32" s="609"/>
      <c r="F32" s="609"/>
      <c r="G32" s="425">
        <v>0</v>
      </c>
      <c r="H32" s="425">
        <v>0</v>
      </c>
      <c r="I32" s="219"/>
      <c r="J32" s="219"/>
      <c r="K32" s="427"/>
      <c r="L32" s="611" t="s">
        <v>405</v>
      </c>
      <c r="M32" s="611"/>
      <c r="N32" s="611"/>
      <c r="O32" s="425">
        <v>62889</v>
      </c>
      <c r="P32" s="425">
        <v>370961</v>
      </c>
      <c r="Q32" s="233"/>
    </row>
    <row r="33" spans="1:17" ht="15" customHeight="1">
      <c r="A33" s="234"/>
      <c r="B33" s="219"/>
      <c r="C33" s="427"/>
      <c r="D33" s="609" t="s">
        <v>184</v>
      </c>
      <c r="E33" s="609"/>
      <c r="F33" s="609"/>
      <c r="G33" s="425">
        <v>0</v>
      </c>
      <c r="H33" s="425">
        <v>0</v>
      </c>
      <c r="I33" s="219"/>
      <c r="J33" s="219"/>
      <c r="K33" s="422"/>
      <c r="Q33" s="233"/>
    </row>
    <row r="34" spans="1:17" ht="15" customHeight="1">
      <c r="A34" s="234"/>
      <c r="B34" s="219"/>
      <c r="C34" s="427"/>
      <c r="D34" s="609" t="s">
        <v>186</v>
      </c>
      <c r="E34" s="609"/>
      <c r="F34" s="609"/>
      <c r="G34" s="425">
        <v>0</v>
      </c>
      <c r="H34" s="425">
        <v>0</v>
      </c>
      <c r="I34" s="219"/>
      <c r="J34" s="219"/>
      <c r="K34" s="427" t="s">
        <v>68</v>
      </c>
      <c r="L34" s="427"/>
      <c r="M34" s="427"/>
      <c r="N34" s="427"/>
      <c r="O34" s="424">
        <f>O35+O38</f>
        <v>847</v>
      </c>
      <c r="P34" s="424">
        <f>P35+P38</f>
        <v>480</v>
      </c>
      <c r="Q34" s="233"/>
    </row>
    <row r="35" spans="1:17" ht="15" customHeight="1">
      <c r="A35" s="234"/>
      <c r="B35" s="219"/>
      <c r="C35" s="427"/>
      <c r="D35" s="609" t="s">
        <v>100</v>
      </c>
      <c r="E35" s="609"/>
      <c r="F35" s="609"/>
      <c r="G35" s="425">
        <v>0</v>
      </c>
      <c r="H35" s="425">
        <v>9990</v>
      </c>
      <c r="I35" s="219"/>
      <c r="J35" s="219"/>
      <c r="K35" s="218"/>
      <c r="L35" s="426" t="s">
        <v>187</v>
      </c>
      <c r="M35" s="426"/>
      <c r="N35" s="426"/>
      <c r="O35" s="425">
        <f>SUM(O36:O37)</f>
        <v>0</v>
      </c>
      <c r="P35" s="425">
        <f>SUM(P36:P37)</f>
        <v>0</v>
      </c>
      <c r="Q35" s="233"/>
    </row>
    <row r="36" spans="1:17" ht="15" customHeight="1">
      <c r="A36" s="234"/>
      <c r="B36" s="219"/>
      <c r="C36" s="427"/>
      <c r="D36" s="609" t="s">
        <v>102</v>
      </c>
      <c r="E36" s="609"/>
      <c r="F36" s="609"/>
      <c r="G36" s="425">
        <v>0</v>
      </c>
      <c r="H36" s="425">
        <v>0</v>
      </c>
      <c r="I36" s="219"/>
      <c r="J36" s="219"/>
      <c r="K36" s="427"/>
      <c r="L36" s="426" t="s">
        <v>183</v>
      </c>
      <c r="M36" s="426"/>
      <c r="N36" s="426"/>
      <c r="O36" s="425">
        <v>0</v>
      </c>
      <c r="P36" s="425">
        <v>0</v>
      </c>
      <c r="Q36" s="233"/>
    </row>
    <row r="37" spans="1:17" ht="15" customHeight="1">
      <c r="A37" s="234"/>
      <c r="B37" s="219"/>
      <c r="C37" s="427"/>
      <c r="D37" s="609" t="s">
        <v>104</v>
      </c>
      <c r="E37" s="609"/>
      <c r="F37" s="609"/>
      <c r="G37" s="425">
        <v>0</v>
      </c>
      <c r="H37" s="425">
        <v>0</v>
      </c>
      <c r="I37" s="219"/>
      <c r="J37" s="218"/>
      <c r="K37" s="427"/>
      <c r="L37" s="426" t="s">
        <v>185</v>
      </c>
      <c r="M37" s="426"/>
      <c r="N37" s="426"/>
      <c r="O37" s="425">
        <v>0</v>
      </c>
      <c r="P37" s="425">
        <v>0</v>
      </c>
      <c r="Q37" s="233"/>
    </row>
    <row r="38" spans="1:17" ht="15" customHeight="1">
      <c r="A38" s="234"/>
      <c r="B38" s="219"/>
      <c r="C38" s="427"/>
      <c r="D38" s="609" t="s">
        <v>105</v>
      </c>
      <c r="E38" s="609"/>
      <c r="F38" s="609"/>
      <c r="G38" s="425">
        <v>0</v>
      </c>
      <c r="H38" s="425">
        <v>0</v>
      </c>
      <c r="I38" s="219"/>
      <c r="J38" s="219"/>
      <c r="K38" s="427"/>
      <c r="L38" s="611" t="s">
        <v>406</v>
      </c>
      <c r="M38" s="611"/>
      <c r="N38" s="611"/>
      <c r="O38" s="425">
        <v>847</v>
      </c>
      <c r="P38" s="425">
        <v>480</v>
      </c>
      <c r="Q38" s="233"/>
    </row>
    <row r="39" spans="1:17" ht="15" customHeight="1">
      <c r="A39" s="234"/>
      <c r="B39" s="219"/>
      <c r="C39" s="427"/>
      <c r="D39" s="609" t="s">
        <v>106</v>
      </c>
      <c r="E39" s="609"/>
      <c r="F39" s="609"/>
      <c r="G39" s="425">
        <v>0</v>
      </c>
      <c r="H39" s="425">
        <v>0</v>
      </c>
      <c r="I39" s="219"/>
      <c r="J39" s="219"/>
      <c r="K39" s="422"/>
      <c r="Q39" s="233"/>
    </row>
    <row r="40" spans="1:17" ht="15" customHeight="1">
      <c r="A40" s="234"/>
      <c r="B40" s="219"/>
      <c r="C40" s="427"/>
      <c r="D40" s="609" t="s">
        <v>108</v>
      </c>
      <c r="E40" s="609"/>
      <c r="F40" s="609"/>
      <c r="G40" s="425">
        <v>0</v>
      </c>
      <c r="H40" s="425">
        <v>0</v>
      </c>
      <c r="I40" s="219"/>
      <c r="J40" s="219"/>
      <c r="K40" s="610" t="s">
        <v>189</v>
      </c>
      <c r="L40" s="610"/>
      <c r="M40" s="610"/>
      <c r="N40" s="610"/>
      <c r="O40" s="424">
        <f>O28-O34</f>
        <v>62042</v>
      </c>
      <c r="P40" s="424">
        <f>P28-P34</f>
        <v>370481</v>
      </c>
      <c r="Q40" s="233"/>
    </row>
    <row r="41" spans="1:17" ht="15" customHeight="1">
      <c r="A41" s="234"/>
      <c r="B41" s="219"/>
      <c r="C41" s="292"/>
      <c r="D41" s="219"/>
      <c r="E41" s="292"/>
      <c r="F41" s="292"/>
      <c r="G41" s="422"/>
      <c r="H41" s="422"/>
      <c r="I41" s="219"/>
      <c r="J41" s="219"/>
      <c r="Q41" s="233"/>
    </row>
    <row r="42" spans="1:17" ht="15" customHeight="1">
      <c r="A42" s="234"/>
      <c r="B42" s="219"/>
      <c r="C42" s="427"/>
      <c r="D42" s="609" t="s">
        <v>188</v>
      </c>
      <c r="E42" s="609"/>
      <c r="F42" s="609"/>
      <c r="G42" s="425">
        <v>0</v>
      </c>
      <c r="H42" s="425">
        <v>0</v>
      </c>
      <c r="I42" s="219"/>
      <c r="J42" s="219"/>
      <c r="Q42" s="233"/>
    </row>
    <row r="43" spans="1:17" ht="15" customHeight="1">
      <c r="A43" s="234"/>
      <c r="B43" s="219"/>
      <c r="C43" s="427"/>
      <c r="D43" s="609" t="s">
        <v>141</v>
      </c>
      <c r="E43" s="609"/>
      <c r="F43" s="609"/>
      <c r="G43" s="425">
        <v>0</v>
      </c>
      <c r="H43" s="425">
        <v>0</v>
      </c>
      <c r="I43" s="219"/>
      <c r="J43" s="612" t="s">
        <v>191</v>
      </c>
      <c r="K43" s="612"/>
      <c r="L43" s="612"/>
      <c r="M43" s="612"/>
      <c r="N43" s="612"/>
      <c r="O43" s="428">
        <f>G48+O23+O40</f>
        <v>160045</v>
      </c>
      <c r="P43" s="428">
        <f>H48+P23+P40</f>
        <v>1179590</v>
      </c>
      <c r="Q43" s="233"/>
    </row>
    <row r="44" spans="1:17" ht="15" customHeight="1">
      <c r="A44" s="234"/>
      <c r="B44" s="219"/>
      <c r="C44" s="427"/>
      <c r="D44" s="609" t="s">
        <v>115</v>
      </c>
      <c r="E44" s="609"/>
      <c r="F44" s="609"/>
      <c r="G44" s="425">
        <v>0</v>
      </c>
      <c r="H44" s="425">
        <v>0</v>
      </c>
      <c r="I44" s="219"/>
      <c r="Q44" s="233"/>
    </row>
    <row r="45" spans="1:17" ht="15" customHeight="1">
      <c r="A45" s="234"/>
      <c r="B45" s="219"/>
      <c r="C45" s="422"/>
      <c r="D45" s="422"/>
      <c r="E45" s="422"/>
      <c r="F45" s="422"/>
      <c r="G45" s="422"/>
      <c r="H45" s="422"/>
      <c r="I45" s="219"/>
      <c r="Q45" s="233"/>
    </row>
    <row r="46" spans="1:17" ht="15" customHeight="1">
      <c r="A46" s="234"/>
      <c r="B46" s="219"/>
      <c r="C46" s="427"/>
      <c r="D46" s="609" t="s">
        <v>203</v>
      </c>
      <c r="E46" s="609"/>
      <c r="F46" s="609"/>
      <c r="G46" s="425">
        <v>77495</v>
      </c>
      <c r="H46" s="425">
        <v>0</v>
      </c>
      <c r="I46" s="219"/>
      <c r="Q46" s="233"/>
    </row>
    <row r="47" spans="1:17">
      <c r="A47" s="234"/>
      <c r="B47" s="219"/>
      <c r="C47" s="292"/>
      <c r="D47" s="219"/>
      <c r="E47" s="292"/>
      <c r="F47" s="292"/>
      <c r="G47" s="422"/>
      <c r="H47" s="422"/>
      <c r="I47" s="219"/>
      <c r="J47" s="612" t="s">
        <v>195</v>
      </c>
      <c r="K47" s="612"/>
      <c r="L47" s="612"/>
      <c r="M47" s="612"/>
      <c r="N47" s="612"/>
      <c r="O47" s="428">
        <f>+P48</f>
        <v>1179590</v>
      </c>
      <c r="P47" s="428">
        <v>0</v>
      </c>
      <c r="Q47" s="233"/>
    </row>
    <row r="48" spans="1:17" s="432" customFormat="1">
      <c r="A48" s="429"/>
      <c r="B48" s="430"/>
      <c r="C48" s="610" t="s">
        <v>190</v>
      </c>
      <c r="D48" s="610"/>
      <c r="E48" s="610"/>
      <c r="F48" s="610"/>
      <c r="G48" s="428">
        <f>G14-G27</f>
        <v>107997</v>
      </c>
      <c r="H48" s="428">
        <f>H14-H27</f>
        <v>811109</v>
      </c>
      <c r="I48" s="430"/>
      <c r="J48" s="612" t="s">
        <v>196</v>
      </c>
      <c r="K48" s="612"/>
      <c r="L48" s="612"/>
      <c r="M48" s="612"/>
      <c r="N48" s="612"/>
      <c r="O48" s="428">
        <f>+O47+O43</f>
        <v>1339635</v>
      </c>
      <c r="P48" s="428">
        <f>+P43+P47</f>
        <v>1179590</v>
      </c>
      <c r="Q48" s="431"/>
    </row>
    <row r="49" spans="1:17" s="432" customFormat="1">
      <c r="A49" s="429"/>
      <c r="B49" s="430"/>
      <c r="C49" s="427"/>
      <c r="D49" s="427"/>
      <c r="E49" s="427"/>
      <c r="F49" s="427"/>
      <c r="G49" s="428"/>
      <c r="H49" s="428"/>
      <c r="I49" s="430"/>
      <c r="Q49" s="431"/>
    </row>
    <row r="50" spans="1:17" ht="14.25" customHeight="1">
      <c r="A50" s="256"/>
      <c r="B50" s="257"/>
      <c r="C50" s="433"/>
      <c r="D50" s="433"/>
      <c r="E50" s="433"/>
      <c r="F50" s="433"/>
      <c r="G50" s="434"/>
      <c r="H50" s="434"/>
      <c r="I50" s="257"/>
      <c r="J50" s="263"/>
      <c r="K50" s="263"/>
      <c r="L50" s="263"/>
      <c r="M50" s="263"/>
      <c r="N50" s="263"/>
      <c r="O50" s="263"/>
      <c r="P50" s="263"/>
      <c r="Q50" s="259"/>
    </row>
    <row r="51" spans="1:17" ht="14.25" customHeight="1">
      <c r="A51" s="219"/>
      <c r="I51" s="219"/>
      <c r="J51" s="219"/>
      <c r="K51" s="422"/>
      <c r="L51" s="422"/>
      <c r="M51" s="422"/>
      <c r="N51" s="422"/>
      <c r="O51" s="423"/>
      <c r="P51" s="423"/>
      <c r="Q51" s="218"/>
    </row>
    <row r="52" spans="1:17" ht="6" customHeight="1">
      <c r="A52" s="219"/>
      <c r="I52" s="219"/>
      <c r="J52" s="218"/>
      <c r="K52" s="218"/>
      <c r="L52" s="218"/>
      <c r="M52" s="218"/>
      <c r="N52" s="218"/>
      <c r="O52" s="218"/>
      <c r="P52" s="218"/>
      <c r="Q52" s="218"/>
    </row>
    <row r="53" spans="1:17" ht="15" customHeight="1">
      <c r="A53" s="218"/>
      <c r="B53" s="236" t="s">
        <v>78</v>
      </c>
      <c r="C53" s="236"/>
      <c r="D53" s="236"/>
      <c r="E53" s="236"/>
      <c r="F53" s="236"/>
      <c r="G53" s="236"/>
      <c r="H53" s="236"/>
      <c r="I53" s="236"/>
      <c r="J53" s="236"/>
      <c r="K53" s="218"/>
      <c r="L53" s="218"/>
      <c r="M53" s="218"/>
      <c r="N53" s="218"/>
      <c r="O53" s="407" t="str">
        <f>IF(O47=ESF!E18," ","ERROR SALDO FINAL 2013")</f>
        <v xml:space="preserve"> </v>
      </c>
      <c r="P53" s="218"/>
      <c r="Q53" s="218"/>
    </row>
    <row r="54" spans="1:17" ht="22.5" customHeight="1">
      <c r="A54" s="218"/>
      <c r="B54" s="236"/>
      <c r="C54" s="260"/>
      <c r="D54" s="261"/>
      <c r="E54" s="261"/>
      <c r="F54" s="218"/>
      <c r="G54" s="262"/>
      <c r="H54" s="260"/>
      <c r="I54" s="261"/>
      <c r="J54" s="261"/>
      <c r="K54" s="218"/>
      <c r="L54" s="218"/>
      <c r="M54" s="218"/>
      <c r="N54" s="218"/>
      <c r="O54" s="407" t="str">
        <f>IF(O48=ESF!D18," ","ERROR SALDO FINAL 2014")</f>
        <v xml:space="preserve"> </v>
      </c>
      <c r="P54" s="218"/>
      <c r="Q54" s="218"/>
    </row>
    <row r="55" spans="1:17" ht="29.25" customHeight="1">
      <c r="A55" s="218"/>
      <c r="B55" s="236"/>
      <c r="C55" s="260"/>
      <c r="D55" s="613"/>
      <c r="E55" s="613"/>
      <c r="F55" s="613"/>
      <c r="G55" s="613"/>
      <c r="H55" s="260"/>
      <c r="I55" s="261"/>
      <c r="J55" s="261"/>
      <c r="K55" s="218"/>
      <c r="L55" s="576"/>
      <c r="M55" s="576"/>
      <c r="N55" s="576"/>
      <c r="O55" s="576"/>
      <c r="P55" s="218"/>
      <c r="Q55" s="218"/>
    </row>
    <row r="56" spans="1:17" ht="14.1" customHeight="1">
      <c r="A56" s="218"/>
      <c r="B56" s="268"/>
      <c r="C56" s="218"/>
      <c r="D56" s="543" t="s">
        <v>1011</v>
      </c>
      <c r="E56" s="543"/>
      <c r="F56" s="543"/>
      <c r="G56" s="543"/>
      <c r="H56" s="218"/>
      <c r="I56" s="237"/>
      <c r="J56" s="218"/>
      <c r="K56" s="275"/>
      <c r="L56" s="543" t="s">
        <v>1011</v>
      </c>
      <c r="M56" s="543"/>
      <c r="N56" s="543"/>
      <c r="O56" s="543"/>
      <c r="P56" s="218"/>
      <c r="Q56" s="218"/>
    </row>
    <row r="57" spans="1:17" ht="25.5" customHeight="1">
      <c r="A57" s="218"/>
      <c r="B57" s="270"/>
      <c r="C57" s="218"/>
      <c r="D57" s="538" t="s">
        <v>1012</v>
      </c>
      <c r="E57" s="538"/>
      <c r="F57" s="538"/>
      <c r="G57" s="538"/>
      <c r="H57" s="218"/>
      <c r="I57" s="237"/>
      <c r="J57" s="218"/>
      <c r="L57" s="538" t="s">
        <v>1012</v>
      </c>
      <c r="M57" s="538"/>
      <c r="N57" s="538"/>
      <c r="O57" s="538"/>
      <c r="P57" s="218"/>
      <c r="Q57" s="218"/>
    </row>
  </sheetData>
  <sheetProtection formatCells="0" selectLockedCells="1"/>
  <mergeCells count="59">
    <mergeCell ref="E1:O1"/>
    <mergeCell ref="E2:O2"/>
    <mergeCell ref="E3:O3"/>
    <mergeCell ref="E4:O4"/>
    <mergeCell ref="B6:D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621" t="s">
        <v>2</v>
      </c>
      <c r="B2" s="621"/>
      <c r="C2" s="621"/>
      <c r="D2" s="621"/>
      <c r="E2" s="13" t="e">
        <f>ESF!#REF!</f>
        <v>#REF!</v>
      </c>
    </row>
    <row r="3" spans="1:5" ht="113.25">
      <c r="A3" s="621" t="s">
        <v>4</v>
      </c>
      <c r="B3" s="621"/>
      <c r="C3" s="621"/>
      <c r="D3" s="621"/>
      <c r="E3" s="13" t="str">
        <f>ESF!C7</f>
        <v>Fideicomiso Fondo de Ayuda, Asistencia y Reparación de Daño a las Víctimas y Ofendidos, para el Estado de Tlaxcala</v>
      </c>
    </row>
    <row r="4" spans="1:5">
      <c r="A4" s="621" t="s">
        <v>3</v>
      </c>
      <c r="B4" s="621"/>
      <c r="C4" s="621"/>
      <c r="D4" s="621"/>
      <c r="E4" s="14"/>
    </row>
    <row r="5" spans="1:5">
      <c r="A5" s="621" t="s">
        <v>73</v>
      </c>
      <c r="B5" s="621"/>
      <c r="C5" s="621"/>
      <c r="D5" s="621"/>
      <c r="E5" t="s">
        <v>71</v>
      </c>
    </row>
    <row r="6" spans="1:5">
      <c r="A6" s="6"/>
      <c r="B6" s="6"/>
      <c r="C6" s="626" t="s">
        <v>5</v>
      </c>
      <c r="D6" s="626"/>
      <c r="E6" s="1">
        <v>2013</v>
      </c>
    </row>
    <row r="7" spans="1:5">
      <c r="A7" s="622" t="s">
        <v>69</v>
      </c>
      <c r="B7" s="620" t="s">
        <v>8</v>
      </c>
      <c r="C7" s="616" t="s">
        <v>10</v>
      </c>
      <c r="D7" s="616"/>
      <c r="E7" s="8">
        <f>ESF!D18</f>
        <v>1339635</v>
      </c>
    </row>
    <row r="8" spans="1:5">
      <c r="A8" s="622"/>
      <c r="B8" s="620"/>
      <c r="C8" s="616" t="s">
        <v>12</v>
      </c>
      <c r="D8" s="616"/>
      <c r="E8" s="8">
        <f>ESF!D19</f>
        <v>1327</v>
      </c>
    </row>
    <row r="9" spans="1:5">
      <c r="A9" s="622"/>
      <c r="B9" s="620"/>
      <c r="C9" s="616" t="s">
        <v>14</v>
      </c>
      <c r="D9" s="616"/>
      <c r="E9" s="8">
        <f>ESF!D20</f>
        <v>0</v>
      </c>
    </row>
    <row r="10" spans="1:5">
      <c r="A10" s="622"/>
      <c r="B10" s="620"/>
      <c r="C10" s="616" t="s">
        <v>16</v>
      </c>
      <c r="D10" s="616"/>
      <c r="E10" s="8">
        <f>ESF!D21</f>
        <v>0</v>
      </c>
    </row>
    <row r="11" spans="1:5">
      <c r="A11" s="622"/>
      <c r="B11" s="620"/>
      <c r="C11" s="616" t="s">
        <v>18</v>
      </c>
      <c r="D11" s="616"/>
      <c r="E11" s="8">
        <f>ESF!D22</f>
        <v>0</v>
      </c>
    </row>
    <row r="12" spans="1:5">
      <c r="A12" s="622"/>
      <c r="B12" s="620"/>
      <c r="C12" s="616" t="s">
        <v>20</v>
      </c>
      <c r="D12" s="616"/>
      <c r="E12" s="8">
        <f>ESF!D23</f>
        <v>0</v>
      </c>
    </row>
    <row r="13" spans="1:5">
      <c r="A13" s="622"/>
      <c r="B13" s="620"/>
      <c r="C13" s="616" t="s">
        <v>22</v>
      </c>
      <c r="D13" s="616"/>
      <c r="E13" s="8">
        <f>ESF!D24</f>
        <v>0</v>
      </c>
    </row>
    <row r="14" spans="1:5" ht="15.75" thickBot="1">
      <c r="A14" s="622"/>
      <c r="B14" s="4"/>
      <c r="C14" s="617" t="s">
        <v>25</v>
      </c>
      <c r="D14" s="617"/>
      <c r="E14" s="9">
        <f>ESF!D26</f>
        <v>1340962</v>
      </c>
    </row>
    <row r="15" spans="1:5">
      <c r="A15" s="622"/>
      <c r="B15" s="620" t="s">
        <v>27</v>
      </c>
      <c r="C15" s="616" t="s">
        <v>29</v>
      </c>
      <c r="D15" s="616"/>
      <c r="E15" s="8">
        <f>ESF!D31</f>
        <v>0</v>
      </c>
    </row>
    <row r="16" spans="1:5">
      <c r="A16" s="622"/>
      <c r="B16" s="620"/>
      <c r="C16" s="616" t="s">
        <v>31</v>
      </c>
      <c r="D16" s="616"/>
      <c r="E16" s="8">
        <f>ESF!D32</f>
        <v>0</v>
      </c>
    </row>
    <row r="17" spans="1:5">
      <c r="A17" s="622"/>
      <c r="B17" s="620"/>
      <c r="C17" s="616" t="s">
        <v>33</v>
      </c>
      <c r="D17" s="616"/>
      <c r="E17" s="8">
        <f>ESF!D33</f>
        <v>3324187</v>
      </c>
    </row>
    <row r="18" spans="1:5">
      <c r="A18" s="622"/>
      <c r="B18" s="620"/>
      <c r="C18" s="616" t="s">
        <v>35</v>
      </c>
      <c r="D18" s="616"/>
      <c r="E18" s="8">
        <f>ESF!D34</f>
        <v>1297566</v>
      </c>
    </row>
    <row r="19" spans="1:5">
      <c r="A19" s="622"/>
      <c r="B19" s="620"/>
      <c r="C19" s="616" t="s">
        <v>37</v>
      </c>
      <c r="D19" s="616"/>
      <c r="E19" s="8">
        <f>ESF!D35</f>
        <v>0</v>
      </c>
    </row>
    <row r="20" spans="1:5">
      <c r="A20" s="622"/>
      <c r="B20" s="620"/>
      <c r="C20" s="616" t="s">
        <v>39</v>
      </c>
      <c r="D20" s="616"/>
      <c r="E20" s="8">
        <f>ESF!D36</f>
        <v>0</v>
      </c>
    </row>
    <row r="21" spans="1:5">
      <c r="A21" s="622"/>
      <c r="B21" s="620"/>
      <c r="C21" s="616" t="s">
        <v>41</v>
      </c>
      <c r="D21" s="616"/>
      <c r="E21" s="8">
        <f>ESF!D37</f>
        <v>0</v>
      </c>
    </row>
    <row r="22" spans="1:5">
      <c r="A22" s="622"/>
      <c r="B22" s="620"/>
      <c r="C22" s="616" t="s">
        <v>42</v>
      </c>
      <c r="D22" s="616"/>
      <c r="E22" s="8">
        <f>ESF!D38</f>
        <v>0</v>
      </c>
    </row>
    <row r="23" spans="1:5">
      <c r="A23" s="622"/>
      <c r="B23" s="620"/>
      <c r="C23" s="616" t="s">
        <v>44</v>
      </c>
      <c r="D23" s="616"/>
      <c r="E23" s="8">
        <f>ESF!D39</f>
        <v>0</v>
      </c>
    </row>
    <row r="24" spans="1:5" ht="15.75" thickBot="1">
      <c r="A24" s="622"/>
      <c r="B24" s="4"/>
      <c r="C24" s="617" t="s">
        <v>46</v>
      </c>
      <c r="D24" s="617"/>
      <c r="E24" s="9">
        <f>ESF!D41</f>
        <v>4621753</v>
      </c>
    </row>
    <row r="25" spans="1:5" ht="15.75" thickBot="1">
      <c r="A25" s="622"/>
      <c r="B25" s="2"/>
      <c r="C25" s="617" t="s">
        <v>48</v>
      </c>
      <c r="D25" s="617"/>
      <c r="E25" s="9">
        <f>ESF!D43</f>
        <v>5962715</v>
      </c>
    </row>
    <row r="26" spans="1:5">
      <c r="A26" s="622" t="s">
        <v>70</v>
      </c>
      <c r="B26" s="620" t="s">
        <v>9</v>
      </c>
      <c r="C26" s="616" t="s">
        <v>11</v>
      </c>
      <c r="D26" s="616"/>
      <c r="E26" s="8">
        <f>ESF!I18</f>
        <v>84256</v>
      </c>
    </row>
    <row r="27" spans="1:5">
      <c r="A27" s="622"/>
      <c r="B27" s="620"/>
      <c r="C27" s="616" t="s">
        <v>13</v>
      </c>
      <c r="D27" s="616"/>
      <c r="E27" s="8">
        <f>ESF!I19</f>
        <v>0</v>
      </c>
    </row>
    <row r="28" spans="1:5">
      <c r="A28" s="622"/>
      <c r="B28" s="620"/>
      <c r="C28" s="616" t="s">
        <v>15</v>
      </c>
      <c r="D28" s="616"/>
      <c r="E28" s="8">
        <f>ESF!I20</f>
        <v>0</v>
      </c>
    </row>
    <row r="29" spans="1:5">
      <c r="A29" s="622"/>
      <c r="B29" s="620"/>
      <c r="C29" s="616" t="s">
        <v>17</v>
      </c>
      <c r="D29" s="616"/>
      <c r="E29" s="8">
        <f>ESF!I21</f>
        <v>0</v>
      </c>
    </row>
    <row r="30" spans="1:5">
      <c r="A30" s="622"/>
      <c r="B30" s="620"/>
      <c r="C30" s="616" t="s">
        <v>19</v>
      </c>
      <c r="D30" s="616"/>
      <c r="E30" s="8">
        <f>ESF!I22</f>
        <v>0</v>
      </c>
    </row>
    <row r="31" spans="1:5">
      <c r="A31" s="622"/>
      <c r="B31" s="620"/>
      <c r="C31" s="616" t="s">
        <v>21</v>
      </c>
      <c r="D31" s="616"/>
      <c r="E31" s="8">
        <f>ESF!I23</f>
        <v>0</v>
      </c>
    </row>
    <row r="32" spans="1:5">
      <c r="A32" s="622"/>
      <c r="B32" s="620"/>
      <c r="C32" s="616" t="s">
        <v>23</v>
      </c>
      <c r="D32" s="616"/>
      <c r="E32" s="8">
        <f>ESF!I24</f>
        <v>0</v>
      </c>
    </row>
    <row r="33" spans="1:5">
      <c r="A33" s="622"/>
      <c r="B33" s="620"/>
      <c r="C33" s="616" t="s">
        <v>24</v>
      </c>
      <c r="D33" s="616"/>
      <c r="E33" s="8">
        <f>ESF!I25</f>
        <v>0</v>
      </c>
    </row>
    <row r="34" spans="1:5" ht="15.75" thickBot="1">
      <c r="A34" s="622"/>
      <c r="B34" s="4"/>
      <c r="C34" s="617" t="s">
        <v>26</v>
      </c>
      <c r="D34" s="617"/>
      <c r="E34" s="9">
        <f>ESF!I27</f>
        <v>84256</v>
      </c>
    </row>
    <row r="35" spans="1:5">
      <c r="A35" s="622"/>
      <c r="B35" s="620" t="s">
        <v>28</v>
      </c>
      <c r="C35" s="616" t="s">
        <v>30</v>
      </c>
      <c r="D35" s="616"/>
      <c r="E35" s="8">
        <f>ESF!I31</f>
        <v>0</v>
      </c>
    </row>
    <row r="36" spans="1:5">
      <c r="A36" s="622"/>
      <c r="B36" s="620"/>
      <c r="C36" s="616" t="s">
        <v>32</v>
      </c>
      <c r="D36" s="616"/>
      <c r="E36" s="8">
        <f>ESF!I32</f>
        <v>0</v>
      </c>
    </row>
    <row r="37" spans="1:5">
      <c r="A37" s="622"/>
      <c r="B37" s="620"/>
      <c r="C37" s="616" t="s">
        <v>34</v>
      </c>
      <c r="D37" s="616"/>
      <c r="E37" s="8">
        <f>ESF!I33</f>
        <v>0</v>
      </c>
    </row>
    <row r="38" spans="1:5">
      <c r="A38" s="622"/>
      <c r="B38" s="620"/>
      <c r="C38" s="616" t="s">
        <v>36</v>
      </c>
      <c r="D38" s="616"/>
      <c r="E38" s="8">
        <f>ESF!I34</f>
        <v>0</v>
      </c>
    </row>
    <row r="39" spans="1:5">
      <c r="A39" s="622"/>
      <c r="B39" s="620"/>
      <c r="C39" s="616" t="s">
        <v>38</v>
      </c>
      <c r="D39" s="616"/>
      <c r="E39" s="8">
        <f>ESF!I35</f>
        <v>0</v>
      </c>
    </row>
    <row r="40" spans="1:5">
      <c r="A40" s="622"/>
      <c r="B40" s="620"/>
      <c r="C40" s="616" t="s">
        <v>40</v>
      </c>
      <c r="D40" s="616"/>
      <c r="E40" s="8">
        <f>ESF!I36</f>
        <v>0</v>
      </c>
    </row>
    <row r="41" spans="1:5" ht="15.75" thickBot="1">
      <c r="A41" s="622"/>
      <c r="B41" s="2"/>
      <c r="C41" s="617" t="s">
        <v>43</v>
      </c>
      <c r="D41" s="617"/>
      <c r="E41" s="9">
        <f>ESF!I38</f>
        <v>0</v>
      </c>
    </row>
    <row r="42" spans="1:5" ht="15.75" thickBot="1">
      <c r="A42" s="622"/>
      <c r="B42" s="2"/>
      <c r="C42" s="617" t="s">
        <v>45</v>
      </c>
      <c r="D42" s="617"/>
      <c r="E42" s="9">
        <f>ESF!I40</f>
        <v>84256</v>
      </c>
    </row>
    <row r="43" spans="1:5">
      <c r="A43" s="3"/>
      <c r="B43" s="620" t="s">
        <v>47</v>
      </c>
      <c r="C43" s="618" t="s">
        <v>49</v>
      </c>
      <c r="D43" s="618"/>
      <c r="E43" s="10">
        <f>ESF!I44</f>
        <v>0</v>
      </c>
    </row>
    <row r="44" spans="1:5">
      <c r="A44" s="3"/>
      <c r="B44" s="620"/>
      <c r="C44" s="616" t="s">
        <v>50</v>
      </c>
      <c r="D44" s="616"/>
      <c r="E44" s="8">
        <f>ESF!I46</f>
        <v>0</v>
      </c>
    </row>
    <row r="45" spans="1:5">
      <c r="A45" s="3"/>
      <c r="B45" s="620"/>
      <c r="C45" s="616" t="s">
        <v>51</v>
      </c>
      <c r="D45" s="616"/>
      <c r="E45" s="8">
        <f>ESF!I47</f>
        <v>0</v>
      </c>
    </row>
    <row r="46" spans="1:5">
      <c r="A46" s="3"/>
      <c r="B46" s="620"/>
      <c r="C46" s="616" t="s">
        <v>52</v>
      </c>
      <c r="D46" s="616"/>
      <c r="E46" s="8">
        <f>ESF!I48</f>
        <v>0</v>
      </c>
    </row>
    <row r="47" spans="1:5">
      <c r="A47" s="3"/>
      <c r="B47" s="620"/>
      <c r="C47" s="618" t="s">
        <v>53</v>
      </c>
      <c r="D47" s="618"/>
      <c r="E47" s="10">
        <f>ESF!I50</f>
        <v>5878459</v>
      </c>
    </row>
    <row r="48" spans="1:5">
      <c r="A48" s="3"/>
      <c r="B48" s="620"/>
      <c r="C48" s="616" t="s">
        <v>54</v>
      </c>
      <c r="D48" s="616"/>
      <c r="E48" s="8">
        <f>ESF!I52</f>
        <v>185492</v>
      </c>
    </row>
    <row r="49" spans="1:5">
      <c r="A49" s="3"/>
      <c r="B49" s="620"/>
      <c r="C49" s="616" t="s">
        <v>55</v>
      </c>
      <c r="D49" s="616"/>
      <c r="E49" s="8">
        <f>ESF!I53</f>
        <v>1083208</v>
      </c>
    </row>
    <row r="50" spans="1:5">
      <c r="A50" s="3"/>
      <c r="B50" s="620"/>
      <c r="C50" s="616" t="s">
        <v>56</v>
      </c>
      <c r="D50" s="616"/>
      <c r="E50" s="8">
        <f>ESF!I54</f>
        <v>0</v>
      </c>
    </row>
    <row r="51" spans="1:5">
      <c r="A51" s="3"/>
      <c r="B51" s="620"/>
      <c r="C51" s="616" t="s">
        <v>57</v>
      </c>
      <c r="D51" s="616"/>
      <c r="E51" s="8">
        <f>ESF!I55</f>
        <v>0</v>
      </c>
    </row>
    <row r="52" spans="1:5">
      <c r="A52" s="3"/>
      <c r="B52" s="620"/>
      <c r="C52" s="616" t="s">
        <v>58</v>
      </c>
      <c r="D52" s="616"/>
      <c r="E52" s="8">
        <f>ESF!I56</f>
        <v>4609759</v>
      </c>
    </row>
    <row r="53" spans="1:5">
      <c r="A53" s="3"/>
      <c r="B53" s="620"/>
      <c r="C53" s="618" t="s">
        <v>59</v>
      </c>
      <c r="D53" s="618"/>
      <c r="E53" s="10">
        <f>ESF!I58</f>
        <v>0</v>
      </c>
    </row>
    <row r="54" spans="1:5">
      <c r="A54" s="3"/>
      <c r="B54" s="620"/>
      <c r="C54" s="616" t="s">
        <v>60</v>
      </c>
      <c r="D54" s="616"/>
      <c r="E54" s="8">
        <f>ESF!I60</f>
        <v>0</v>
      </c>
    </row>
    <row r="55" spans="1:5">
      <c r="A55" s="3"/>
      <c r="B55" s="620"/>
      <c r="C55" s="616" t="s">
        <v>61</v>
      </c>
      <c r="D55" s="616"/>
      <c r="E55" s="8">
        <f>ESF!I61</f>
        <v>0</v>
      </c>
    </row>
    <row r="56" spans="1:5" ht="15.75" thickBot="1">
      <c r="A56" s="3"/>
      <c r="B56" s="620"/>
      <c r="C56" s="617" t="s">
        <v>62</v>
      </c>
      <c r="D56" s="617"/>
      <c r="E56" s="9">
        <f>ESF!I63</f>
        <v>5878459</v>
      </c>
    </row>
    <row r="57" spans="1:5" ht="15.75" thickBot="1">
      <c r="A57" s="3"/>
      <c r="B57" s="2"/>
      <c r="C57" s="617" t="s">
        <v>63</v>
      </c>
      <c r="D57" s="617"/>
      <c r="E57" s="9">
        <f>ESF!I65</f>
        <v>5962715</v>
      </c>
    </row>
    <row r="58" spans="1:5">
      <c r="A58" s="3"/>
      <c r="B58" s="2"/>
      <c r="C58" s="626" t="s">
        <v>5</v>
      </c>
      <c r="D58" s="626"/>
      <c r="E58" s="1">
        <v>2012</v>
      </c>
    </row>
    <row r="59" spans="1:5">
      <c r="A59" s="622" t="s">
        <v>69</v>
      </c>
      <c r="B59" s="620" t="s">
        <v>8</v>
      </c>
      <c r="C59" s="616" t="s">
        <v>10</v>
      </c>
      <c r="D59" s="616"/>
      <c r="E59" s="8">
        <f>ESF!E18</f>
        <v>1179590</v>
      </c>
    </row>
    <row r="60" spans="1:5">
      <c r="A60" s="622"/>
      <c r="B60" s="620"/>
      <c r="C60" s="616" t="s">
        <v>12</v>
      </c>
      <c r="D60" s="616"/>
      <c r="E60" s="8">
        <f>ESF!E19</f>
        <v>480</v>
      </c>
    </row>
    <row r="61" spans="1:5">
      <c r="A61" s="622"/>
      <c r="B61" s="620"/>
      <c r="C61" s="616" t="s">
        <v>14</v>
      </c>
      <c r="D61" s="616"/>
      <c r="E61" s="8">
        <f>ESF!E20</f>
        <v>0</v>
      </c>
    </row>
    <row r="62" spans="1:5">
      <c r="A62" s="622"/>
      <c r="B62" s="620"/>
      <c r="C62" s="616" t="s">
        <v>16</v>
      </c>
      <c r="D62" s="616"/>
      <c r="E62" s="8">
        <f>ESF!E21</f>
        <v>0</v>
      </c>
    </row>
    <row r="63" spans="1:5">
      <c r="A63" s="622"/>
      <c r="B63" s="620"/>
      <c r="C63" s="616" t="s">
        <v>18</v>
      </c>
      <c r="D63" s="616"/>
      <c r="E63" s="8">
        <f>ESF!E22</f>
        <v>0</v>
      </c>
    </row>
    <row r="64" spans="1:5">
      <c r="A64" s="622"/>
      <c r="B64" s="620"/>
      <c r="C64" s="616" t="s">
        <v>20</v>
      </c>
      <c r="D64" s="616"/>
      <c r="E64" s="8">
        <f>ESF!E23</f>
        <v>0</v>
      </c>
    </row>
    <row r="65" spans="1:5">
      <c r="A65" s="622"/>
      <c r="B65" s="620"/>
      <c r="C65" s="616" t="s">
        <v>22</v>
      </c>
      <c r="D65" s="616"/>
      <c r="E65" s="8">
        <f>ESF!E24</f>
        <v>0</v>
      </c>
    </row>
    <row r="66" spans="1:5" ht="15.75" thickBot="1">
      <c r="A66" s="622"/>
      <c r="B66" s="4"/>
      <c r="C66" s="617" t="s">
        <v>25</v>
      </c>
      <c r="D66" s="617"/>
      <c r="E66" s="9">
        <f>ESF!E26</f>
        <v>1180070</v>
      </c>
    </row>
    <row r="67" spans="1:5">
      <c r="A67" s="622"/>
      <c r="B67" s="620" t="s">
        <v>27</v>
      </c>
      <c r="C67" s="616" t="s">
        <v>29</v>
      </c>
      <c r="D67" s="616"/>
      <c r="E67" s="8">
        <f>ESF!E31</f>
        <v>0</v>
      </c>
    </row>
    <row r="68" spans="1:5">
      <c r="A68" s="622"/>
      <c r="B68" s="620"/>
      <c r="C68" s="616" t="s">
        <v>31</v>
      </c>
      <c r="D68" s="616"/>
      <c r="E68" s="8">
        <f>ESF!E32</f>
        <v>0</v>
      </c>
    </row>
    <row r="69" spans="1:5">
      <c r="A69" s="622"/>
      <c r="B69" s="620"/>
      <c r="C69" s="616" t="s">
        <v>33</v>
      </c>
      <c r="D69" s="616"/>
      <c r="E69" s="8">
        <f>ESF!E33</f>
        <v>3324187</v>
      </c>
    </row>
    <row r="70" spans="1:5">
      <c r="A70" s="622"/>
      <c r="B70" s="620"/>
      <c r="C70" s="616" t="s">
        <v>35</v>
      </c>
      <c r="D70" s="616"/>
      <c r="E70" s="8">
        <f>ESF!E34</f>
        <v>1287572</v>
      </c>
    </row>
    <row r="71" spans="1:5">
      <c r="A71" s="622"/>
      <c r="B71" s="620"/>
      <c r="C71" s="616" t="s">
        <v>37</v>
      </c>
      <c r="D71" s="616"/>
      <c r="E71" s="8">
        <f>ESF!E35</f>
        <v>0</v>
      </c>
    </row>
    <row r="72" spans="1:5">
      <c r="A72" s="622"/>
      <c r="B72" s="620"/>
      <c r="C72" s="616" t="s">
        <v>39</v>
      </c>
      <c r="D72" s="616"/>
      <c r="E72" s="8">
        <f>ESF!E36</f>
        <v>0</v>
      </c>
    </row>
    <row r="73" spans="1:5">
      <c r="A73" s="622"/>
      <c r="B73" s="620"/>
      <c r="C73" s="616" t="s">
        <v>41</v>
      </c>
      <c r="D73" s="616"/>
      <c r="E73" s="8">
        <f>ESF!E37</f>
        <v>0</v>
      </c>
    </row>
    <row r="74" spans="1:5">
      <c r="A74" s="622"/>
      <c r="B74" s="620"/>
      <c r="C74" s="616" t="s">
        <v>42</v>
      </c>
      <c r="D74" s="616"/>
      <c r="E74" s="8">
        <f>ESF!E38</f>
        <v>0</v>
      </c>
    </row>
    <row r="75" spans="1:5">
      <c r="A75" s="622"/>
      <c r="B75" s="620"/>
      <c r="C75" s="616" t="s">
        <v>44</v>
      </c>
      <c r="D75" s="616"/>
      <c r="E75" s="8">
        <f>ESF!E39</f>
        <v>0</v>
      </c>
    </row>
    <row r="76" spans="1:5" ht="15.75" thickBot="1">
      <c r="A76" s="622"/>
      <c r="B76" s="4"/>
      <c r="C76" s="617" t="s">
        <v>46</v>
      </c>
      <c r="D76" s="617"/>
      <c r="E76" s="9">
        <f>ESF!E41</f>
        <v>4611759</v>
      </c>
    </row>
    <row r="77" spans="1:5" ht="15.75" thickBot="1">
      <c r="A77" s="622"/>
      <c r="B77" s="2"/>
      <c r="C77" s="617" t="s">
        <v>48</v>
      </c>
      <c r="D77" s="617"/>
      <c r="E77" s="9">
        <f>ESF!E43</f>
        <v>5791829</v>
      </c>
    </row>
    <row r="78" spans="1:5">
      <c r="A78" s="622" t="s">
        <v>70</v>
      </c>
      <c r="B78" s="620" t="s">
        <v>9</v>
      </c>
      <c r="C78" s="616" t="s">
        <v>11</v>
      </c>
      <c r="D78" s="616"/>
      <c r="E78" s="8">
        <f>ESF!J18</f>
        <v>21367</v>
      </c>
    </row>
    <row r="79" spans="1:5">
      <c r="A79" s="622"/>
      <c r="B79" s="620"/>
      <c r="C79" s="616" t="s">
        <v>13</v>
      </c>
      <c r="D79" s="616"/>
      <c r="E79" s="8">
        <f>ESF!J19</f>
        <v>0</v>
      </c>
    </row>
    <row r="80" spans="1:5">
      <c r="A80" s="622"/>
      <c r="B80" s="620"/>
      <c r="C80" s="616" t="s">
        <v>15</v>
      </c>
      <c r="D80" s="616"/>
      <c r="E80" s="8">
        <f>ESF!J20</f>
        <v>0</v>
      </c>
    </row>
    <row r="81" spans="1:5">
      <c r="A81" s="622"/>
      <c r="B81" s="620"/>
      <c r="C81" s="616" t="s">
        <v>17</v>
      </c>
      <c r="D81" s="616"/>
      <c r="E81" s="8">
        <f>ESF!J21</f>
        <v>0</v>
      </c>
    </row>
    <row r="82" spans="1:5">
      <c r="A82" s="622"/>
      <c r="B82" s="620"/>
      <c r="C82" s="616" t="s">
        <v>19</v>
      </c>
      <c r="D82" s="616"/>
      <c r="E82" s="8">
        <f>ESF!J22</f>
        <v>0</v>
      </c>
    </row>
    <row r="83" spans="1:5">
      <c r="A83" s="622"/>
      <c r="B83" s="620"/>
      <c r="C83" s="616" t="s">
        <v>21</v>
      </c>
      <c r="D83" s="616"/>
      <c r="E83" s="8">
        <f>ESF!J23</f>
        <v>0</v>
      </c>
    </row>
    <row r="84" spans="1:5">
      <c r="A84" s="622"/>
      <c r="B84" s="620"/>
      <c r="C84" s="616" t="s">
        <v>23</v>
      </c>
      <c r="D84" s="616"/>
      <c r="E84" s="8">
        <f>ESF!J24</f>
        <v>0</v>
      </c>
    </row>
    <row r="85" spans="1:5">
      <c r="A85" s="622"/>
      <c r="B85" s="620"/>
      <c r="C85" s="616" t="s">
        <v>24</v>
      </c>
      <c r="D85" s="616"/>
      <c r="E85" s="8">
        <f>ESF!J25</f>
        <v>0</v>
      </c>
    </row>
    <row r="86" spans="1:5" ht="15.75" thickBot="1">
      <c r="A86" s="622"/>
      <c r="B86" s="4"/>
      <c r="C86" s="617" t="s">
        <v>26</v>
      </c>
      <c r="D86" s="617"/>
      <c r="E86" s="9">
        <f>ESF!J27</f>
        <v>21367</v>
      </c>
    </row>
    <row r="87" spans="1:5">
      <c r="A87" s="622"/>
      <c r="B87" s="620" t="s">
        <v>28</v>
      </c>
      <c r="C87" s="616" t="s">
        <v>30</v>
      </c>
      <c r="D87" s="616"/>
      <c r="E87" s="8">
        <f>ESF!J31</f>
        <v>0</v>
      </c>
    </row>
    <row r="88" spans="1:5">
      <c r="A88" s="622"/>
      <c r="B88" s="620"/>
      <c r="C88" s="616" t="s">
        <v>32</v>
      </c>
      <c r="D88" s="616"/>
      <c r="E88" s="8">
        <f>ESF!J32</f>
        <v>0</v>
      </c>
    </row>
    <row r="89" spans="1:5">
      <c r="A89" s="622"/>
      <c r="B89" s="620"/>
      <c r="C89" s="616" t="s">
        <v>34</v>
      </c>
      <c r="D89" s="616"/>
      <c r="E89" s="8">
        <f>ESF!J33</f>
        <v>0</v>
      </c>
    </row>
    <row r="90" spans="1:5">
      <c r="A90" s="622"/>
      <c r="B90" s="620"/>
      <c r="C90" s="616" t="s">
        <v>36</v>
      </c>
      <c r="D90" s="616"/>
      <c r="E90" s="8">
        <f>ESF!J34</f>
        <v>0</v>
      </c>
    </row>
    <row r="91" spans="1:5">
      <c r="A91" s="622"/>
      <c r="B91" s="620"/>
      <c r="C91" s="616" t="s">
        <v>38</v>
      </c>
      <c r="D91" s="616"/>
      <c r="E91" s="8">
        <f>ESF!J35</f>
        <v>0</v>
      </c>
    </row>
    <row r="92" spans="1:5">
      <c r="A92" s="622"/>
      <c r="B92" s="620"/>
      <c r="C92" s="616" t="s">
        <v>40</v>
      </c>
      <c r="D92" s="616"/>
      <c r="E92" s="8">
        <f>ESF!J36</f>
        <v>0</v>
      </c>
    </row>
    <row r="93" spans="1:5" ht="15.75" thickBot="1">
      <c r="A93" s="622"/>
      <c r="B93" s="2"/>
      <c r="C93" s="617" t="s">
        <v>43</v>
      </c>
      <c r="D93" s="617"/>
      <c r="E93" s="9">
        <f>ESF!J38</f>
        <v>0</v>
      </c>
    </row>
    <row r="94" spans="1:5" ht="15.75" thickBot="1">
      <c r="A94" s="622"/>
      <c r="B94" s="2"/>
      <c r="C94" s="617" t="s">
        <v>45</v>
      </c>
      <c r="D94" s="617"/>
      <c r="E94" s="9">
        <f>ESF!J40</f>
        <v>21367</v>
      </c>
    </row>
    <row r="95" spans="1:5">
      <c r="A95" s="3"/>
      <c r="B95" s="620" t="s">
        <v>47</v>
      </c>
      <c r="C95" s="618" t="s">
        <v>49</v>
      </c>
      <c r="D95" s="618"/>
      <c r="E95" s="10">
        <f>ESF!J44</f>
        <v>0</v>
      </c>
    </row>
    <row r="96" spans="1:5">
      <c r="A96" s="3"/>
      <c r="B96" s="620"/>
      <c r="C96" s="616" t="s">
        <v>50</v>
      </c>
      <c r="D96" s="616"/>
      <c r="E96" s="8">
        <f>ESF!J46</f>
        <v>0</v>
      </c>
    </row>
    <row r="97" spans="1:5">
      <c r="A97" s="3"/>
      <c r="B97" s="620"/>
      <c r="C97" s="616" t="s">
        <v>51</v>
      </c>
      <c r="D97" s="616"/>
      <c r="E97" s="8">
        <f>ESF!J47</f>
        <v>0</v>
      </c>
    </row>
    <row r="98" spans="1:5">
      <c r="A98" s="3"/>
      <c r="B98" s="620"/>
      <c r="C98" s="616" t="s">
        <v>52</v>
      </c>
      <c r="D98" s="616"/>
      <c r="E98" s="8">
        <f>ESF!J48</f>
        <v>0</v>
      </c>
    </row>
    <row r="99" spans="1:5">
      <c r="A99" s="3"/>
      <c r="B99" s="620"/>
      <c r="C99" s="618" t="s">
        <v>53</v>
      </c>
      <c r="D99" s="618"/>
      <c r="E99" s="10">
        <f>ESF!J50</f>
        <v>5770462</v>
      </c>
    </row>
    <row r="100" spans="1:5">
      <c r="A100" s="3"/>
      <c r="B100" s="620"/>
      <c r="C100" s="616" t="s">
        <v>54</v>
      </c>
      <c r="D100" s="616"/>
      <c r="E100" s="8">
        <f>ESF!J52</f>
        <v>811109</v>
      </c>
    </row>
    <row r="101" spans="1:5">
      <c r="A101" s="3"/>
      <c r="B101" s="620"/>
      <c r="C101" s="616" t="s">
        <v>55</v>
      </c>
      <c r="D101" s="616"/>
      <c r="E101" s="8">
        <f>ESF!J53</f>
        <v>349594</v>
      </c>
    </row>
    <row r="102" spans="1:5">
      <c r="A102" s="3"/>
      <c r="B102" s="620"/>
      <c r="C102" s="616" t="s">
        <v>56</v>
      </c>
      <c r="D102" s="616"/>
      <c r="E102" s="8">
        <f>ESF!J54</f>
        <v>0</v>
      </c>
    </row>
    <row r="103" spans="1:5">
      <c r="A103" s="3"/>
      <c r="B103" s="620"/>
      <c r="C103" s="616" t="s">
        <v>57</v>
      </c>
      <c r="D103" s="616"/>
      <c r="E103" s="8">
        <f>ESF!J55</f>
        <v>0</v>
      </c>
    </row>
    <row r="104" spans="1:5">
      <c r="A104" s="3"/>
      <c r="B104" s="620"/>
      <c r="C104" s="616" t="s">
        <v>58</v>
      </c>
      <c r="D104" s="616"/>
      <c r="E104" s="8">
        <f>ESF!J56</f>
        <v>4609759</v>
      </c>
    </row>
    <row r="105" spans="1:5">
      <c r="A105" s="3"/>
      <c r="B105" s="620"/>
      <c r="C105" s="618" t="s">
        <v>59</v>
      </c>
      <c r="D105" s="618"/>
      <c r="E105" s="10">
        <f>ESF!J58</f>
        <v>0</v>
      </c>
    </row>
    <row r="106" spans="1:5">
      <c r="A106" s="3"/>
      <c r="B106" s="620"/>
      <c r="C106" s="616" t="s">
        <v>60</v>
      </c>
      <c r="D106" s="616"/>
      <c r="E106" s="8">
        <f>ESF!J60</f>
        <v>0</v>
      </c>
    </row>
    <row r="107" spans="1:5">
      <c r="A107" s="3"/>
      <c r="B107" s="620"/>
      <c r="C107" s="616" t="s">
        <v>61</v>
      </c>
      <c r="D107" s="616"/>
      <c r="E107" s="8">
        <f>ESF!J61</f>
        <v>0</v>
      </c>
    </row>
    <row r="108" spans="1:5" ht="15.75" thickBot="1">
      <c r="A108" s="3"/>
      <c r="B108" s="620"/>
      <c r="C108" s="617" t="s">
        <v>62</v>
      </c>
      <c r="D108" s="617"/>
      <c r="E108" s="9">
        <f>ESF!J63</f>
        <v>5770462</v>
      </c>
    </row>
    <row r="109" spans="1:5" ht="15.75" thickBot="1">
      <c r="A109" s="3"/>
      <c r="B109" s="2"/>
      <c r="C109" s="617" t="s">
        <v>63</v>
      </c>
      <c r="D109" s="617"/>
      <c r="E109" s="9">
        <f>ESF!J65</f>
        <v>5791829</v>
      </c>
    </row>
    <row r="110" spans="1:5">
      <c r="A110" s="3"/>
      <c r="B110" s="2"/>
      <c r="C110" s="619" t="s">
        <v>75</v>
      </c>
      <c r="D110" s="5" t="s">
        <v>64</v>
      </c>
      <c r="E110" s="10" t="str">
        <f>ESF!C73</f>
        <v>Lic. Leonardo Adrián Luna Ramírez</v>
      </c>
    </row>
    <row r="111" spans="1:5">
      <c r="A111" s="3"/>
      <c r="B111" s="2"/>
      <c r="C111" s="615"/>
      <c r="D111" s="5" t="s">
        <v>65</v>
      </c>
      <c r="E111" s="10" t="str">
        <f>ESF!C74</f>
        <v>Director del Fondo de Ayuda, Asistencia y Reparación de Daño a las Víctimas y Ofendidos</v>
      </c>
    </row>
    <row r="112" spans="1:5">
      <c r="A112" s="3"/>
      <c r="B112" s="2"/>
      <c r="C112" s="615" t="s">
        <v>74</v>
      </c>
      <c r="D112" s="5" t="s">
        <v>64</v>
      </c>
      <c r="E112" s="10" t="str">
        <f>ESF!G73</f>
        <v>Lic. Leonardo Adrián Luna Ramírez</v>
      </c>
    </row>
    <row r="113" spans="1:5">
      <c r="A113" s="3"/>
      <c r="B113" s="2"/>
      <c r="C113" s="615"/>
      <c r="D113" s="5" t="s">
        <v>65</v>
      </c>
      <c r="E113" s="10" t="str">
        <f>ESF!G74</f>
        <v>Director del Fondo de Ayuda, Asistencia y Reparación de Daño a las Víctimas y Ofendidos</v>
      </c>
    </row>
    <row r="114" spans="1:5">
      <c r="A114" s="621" t="s">
        <v>2</v>
      </c>
      <c r="B114" s="621"/>
      <c r="C114" s="621"/>
      <c r="D114" s="621"/>
      <c r="E114" s="13" t="e">
        <f>ECSF!#REF!</f>
        <v>#REF!</v>
      </c>
    </row>
    <row r="115" spans="1:5" ht="113.25">
      <c r="A115" s="621" t="s">
        <v>4</v>
      </c>
      <c r="B115" s="621"/>
      <c r="C115" s="621"/>
      <c r="D115" s="621"/>
      <c r="E115" s="13" t="str">
        <f>ECSF!C7</f>
        <v>Fideicomiso Fondo de Ayuda, Asistencia y Reparación de Daño a las Víctimas y Ofendidos, para el Estado de Tlaxcala</v>
      </c>
    </row>
    <row r="116" spans="1:5">
      <c r="A116" s="621" t="s">
        <v>3</v>
      </c>
      <c r="B116" s="621"/>
      <c r="C116" s="621"/>
      <c r="D116" s="621"/>
      <c r="E116" s="14"/>
    </row>
    <row r="117" spans="1:5">
      <c r="A117" s="621" t="s">
        <v>73</v>
      </c>
      <c r="B117" s="621"/>
      <c r="C117" s="621"/>
      <c r="D117" s="621"/>
      <c r="E117" t="s">
        <v>72</v>
      </c>
    </row>
    <row r="118" spans="1:5">
      <c r="B118" s="623" t="s">
        <v>67</v>
      </c>
      <c r="C118" s="618" t="s">
        <v>6</v>
      </c>
      <c r="D118" s="618"/>
      <c r="E118" s="11">
        <f>ECSF!D14</f>
        <v>0</v>
      </c>
    </row>
    <row r="119" spans="1:5">
      <c r="B119" s="623"/>
      <c r="C119" s="618" t="s">
        <v>8</v>
      </c>
      <c r="D119" s="618"/>
      <c r="E119" s="11">
        <f>ECSF!D16</f>
        <v>0</v>
      </c>
    </row>
    <row r="120" spans="1:5">
      <c r="B120" s="623"/>
      <c r="C120" s="616" t="s">
        <v>10</v>
      </c>
      <c r="D120" s="616"/>
      <c r="E120" s="12">
        <f>ECSF!D18</f>
        <v>0</v>
      </c>
    </row>
    <row r="121" spans="1:5">
      <c r="B121" s="623"/>
      <c r="C121" s="616" t="s">
        <v>12</v>
      </c>
      <c r="D121" s="616"/>
      <c r="E121" s="12">
        <f>ECSF!D19</f>
        <v>0</v>
      </c>
    </row>
    <row r="122" spans="1:5">
      <c r="B122" s="623"/>
      <c r="C122" s="616" t="s">
        <v>14</v>
      </c>
      <c r="D122" s="616"/>
      <c r="E122" s="12">
        <f>ECSF!D20</f>
        <v>0</v>
      </c>
    </row>
    <row r="123" spans="1:5">
      <c r="B123" s="623"/>
      <c r="C123" s="616" t="s">
        <v>16</v>
      </c>
      <c r="D123" s="616"/>
      <c r="E123" s="12">
        <f>ECSF!D21</f>
        <v>0</v>
      </c>
    </row>
    <row r="124" spans="1:5">
      <c r="B124" s="623"/>
      <c r="C124" s="616" t="s">
        <v>18</v>
      </c>
      <c r="D124" s="616"/>
      <c r="E124" s="12">
        <f>ECSF!D22</f>
        <v>0</v>
      </c>
    </row>
    <row r="125" spans="1:5">
      <c r="B125" s="623"/>
      <c r="C125" s="616" t="s">
        <v>20</v>
      </c>
      <c r="D125" s="616"/>
      <c r="E125" s="12">
        <f>ECSF!D23</f>
        <v>0</v>
      </c>
    </row>
    <row r="126" spans="1:5">
      <c r="B126" s="623"/>
      <c r="C126" s="616" t="s">
        <v>22</v>
      </c>
      <c r="D126" s="616"/>
      <c r="E126" s="12">
        <f>ECSF!D24</f>
        <v>0</v>
      </c>
    </row>
    <row r="127" spans="1:5">
      <c r="B127" s="623"/>
      <c r="C127" s="618" t="s">
        <v>27</v>
      </c>
      <c r="D127" s="618"/>
      <c r="E127" s="11">
        <f>ECSF!D26</f>
        <v>0</v>
      </c>
    </row>
    <row r="128" spans="1:5">
      <c r="B128" s="623"/>
      <c r="C128" s="616" t="s">
        <v>29</v>
      </c>
      <c r="D128" s="616"/>
      <c r="E128" s="12">
        <f>ECSF!D28</f>
        <v>0</v>
      </c>
    </row>
    <row r="129" spans="2:5">
      <c r="B129" s="623"/>
      <c r="C129" s="616" t="s">
        <v>31</v>
      </c>
      <c r="D129" s="616"/>
      <c r="E129" s="12">
        <f>ECSF!D29</f>
        <v>0</v>
      </c>
    </row>
    <row r="130" spans="2:5">
      <c r="B130" s="623"/>
      <c r="C130" s="616" t="s">
        <v>33</v>
      </c>
      <c r="D130" s="616"/>
      <c r="E130" s="12">
        <f>ECSF!D30</f>
        <v>0</v>
      </c>
    </row>
    <row r="131" spans="2:5">
      <c r="B131" s="623"/>
      <c r="C131" s="616" t="s">
        <v>35</v>
      </c>
      <c r="D131" s="616"/>
      <c r="E131" s="12">
        <f>ECSF!D31</f>
        <v>0</v>
      </c>
    </row>
    <row r="132" spans="2:5">
      <c r="B132" s="623"/>
      <c r="C132" s="616" t="s">
        <v>37</v>
      </c>
      <c r="D132" s="616"/>
      <c r="E132" s="12">
        <f>ECSF!D32</f>
        <v>0</v>
      </c>
    </row>
    <row r="133" spans="2:5">
      <c r="B133" s="623"/>
      <c r="C133" s="616" t="s">
        <v>39</v>
      </c>
      <c r="D133" s="616"/>
      <c r="E133" s="12">
        <f>ECSF!D33</f>
        <v>0</v>
      </c>
    </row>
    <row r="134" spans="2:5">
      <c r="B134" s="623"/>
      <c r="C134" s="616" t="s">
        <v>41</v>
      </c>
      <c r="D134" s="616"/>
      <c r="E134" s="12">
        <f>ECSF!D34</f>
        <v>0</v>
      </c>
    </row>
    <row r="135" spans="2:5">
      <c r="B135" s="623"/>
      <c r="C135" s="616" t="s">
        <v>42</v>
      </c>
      <c r="D135" s="616"/>
      <c r="E135" s="12">
        <f>ECSF!D35</f>
        <v>0</v>
      </c>
    </row>
    <row r="136" spans="2:5">
      <c r="B136" s="623"/>
      <c r="C136" s="616" t="s">
        <v>44</v>
      </c>
      <c r="D136" s="616"/>
      <c r="E136" s="12">
        <f>ECSF!D36</f>
        <v>0</v>
      </c>
    </row>
    <row r="137" spans="2:5">
      <c r="B137" s="623"/>
      <c r="C137" s="618" t="s">
        <v>7</v>
      </c>
      <c r="D137" s="618"/>
      <c r="E137" s="11">
        <f>ECSF!I14</f>
        <v>84256</v>
      </c>
    </row>
    <row r="138" spans="2:5">
      <c r="B138" s="623"/>
      <c r="C138" s="618" t="s">
        <v>9</v>
      </c>
      <c r="D138" s="618"/>
      <c r="E138" s="11">
        <f>ECSF!I16</f>
        <v>84256</v>
      </c>
    </row>
    <row r="139" spans="2:5">
      <c r="B139" s="623"/>
      <c r="C139" s="616" t="s">
        <v>11</v>
      </c>
      <c r="D139" s="616"/>
      <c r="E139" s="12">
        <f>ECSF!I18</f>
        <v>84256</v>
      </c>
    </row>
    <row r="140" spans="2:5">
      <c r="B140" s="623"/>
      <c r="C140" s="616" t="s">
        <v>13</v>
      </c>
      <c r="D140" s="616"/>
      <c r="E140" s="12">
        <f>ECSF!I19</f>
        <v>0</v>
      </c>
    </row>
    <row r="141" spans="2:5">
      <c r="B141" s="623"/>
      <c r="C141" s="616" t="s">
        <v>15</v>
      </c>
      <c r="D141" s="616"/>
      <c r="E141" s="12">
        <f>ECSF!I20</f>
        <v>0</v>
      </c>
    </row>
    <row r="142" spans="2:5">
      <c r="B142" s="623"/>
      <c r="C142" s="616" t="s">
        <v>17</v>
      </c>
      <c r="D142" s="616"/>
      <c r="E142" s="12">
        <f>ECSF!I21</f>
        <v>0</v>
      </c>
    </row>
    <row r="143" spans="2:5">
      <c r="B143" s="623"/>
      <c r="C143" s="616" t="s">
        <v>19</v>
      </c>
      <c r="D143" s="616"/>
      <c r="E143" s="12">
        <f>ECSF!I22</f>
        <v>0</v>
      </c>
    </row>
    <row r="144" spans="2:5">
      <c r="B144" s="623"/>
      <c r="C144" s="616" t="s">
        <v>21</v>
      </c>
      <c r="D144" s="616"/>
      <c r="E144" s="12">
        <f>ECSF!I23</f>
        <v>0</v>
      </c>
    </row>
    <row r="145" spans="2:5">
      <c r="B145" s="623"/>
      <c r="C145" s="616" t="s">
        <v>23</v>
      </c>
      <c r="D145" s="616"/>
      <c r="E145" s="12">
        <f>ECSF!I24</f>
        <v>0</v>
      </c>
    </row>
    <row r="146" spans="2:5">
      <c r="B146" s="623"/>
      <c r="C146" s="616" t="s">
        <v>24</v>
      </c>
      <c r="D146" s="616"/>
      <c r="E146" s="12">
        <f>ECSF!I25</f>
        <v>0</v>
      </c>
    </row>
    <row r="147" spans="2:5">
      <c r="B147" s="623"/>
      <c r="C147" s="625" t="s">
        <v>28</v>
      </c>
      <c r="D147" s="625"/>
      <c r="E147" s="11">
        <f>ECSF!I27</f>
        <v>0</v>
      </c>
    </row>
    <row r="148" spans="2:5">
      <c r="B148" s="623"/>
      <c r="C148" s="616" t="s">
        <v>30</v>
      </c>
      <c r="D148" s="616"/>
      <c r="E148" s="12">
        <f>ECSF!I29</f>
        <v>0</v>
      </c>
    </row>
    <row r="149" spans="2:5">
      <c r="B149" s="623"/>
      <c r="C149" s="616" t="s">
        <v>32</v>
      </c>
      <c r="D149" s="616"/>
      <c r="E149" s="12">
        <f>ECSF!I30</f>
        <v>0</v>
      </c>
    </row>
    <row r="150" spans="2:5">
      <c r="B150" s="623"/>
      <c r="C150" s="616" t="s">
        <v>34</v>
      </c>
      <c r="D150" s="616"/>
      <c r="E150" s="12">
        <f>ECSF!I31</f>
        <v>0</v>
      </c>
    </row>
    <row r="151" spans="2:5">
      <c r="B151" s="623"/>
      <c r="C151" s="616" t="s">
        <v>36</v>
      </c>
      <c r="D151" s="616"/>
      <c r="E151" s="12">
        <f>ECSF!I32</f>
        <v>0</v>
      </c>
    </row>
    <row r="152" spans="2:5">
      <c r="B152" s="623"/>
      <c r="C152" s="616" t="s">
        <v>38</v>
      </c>
      <c r="D152" s="616"/>
      <c r="E152" s="12">
        <f>ECSF!I33</f>
        <v>0</v>
      </c>
    </row>
    <row r="153" spans="2:5">
      <c r="B153" s="623"/>
      <c r="C153" s="616" t="s">
        <v>40</v>
      </c>
      <c r="D153" s="616"/>
      <c r="E153" s="12">
        <f>ECSF!I34</f>
        <v>0</v>
      </c>
    </row>
    <row r="154" spans="2:5">
      <c r="B154" s="623"/>
      <c r="C154" s="618" t="s">
        <v>47</v>
      </c>
      <c r="D154" s="618"/>
      <c r="E154" s="11">
        <f>ECSF!I36</f>
        <v>5878459</v>
      </c>
    </row>
    <row r="155" spans="2:5">
      <c r="B155" s="623"/>
      <c r="C155" s="618" t="s">
        <v>49</v>
      </c>
      <c r="D155" s="618"/>
      <c r="E155" s="11">
        <f>ECSF!I38</f>
        <v>0</v>
      </c>
    </row>
    <row r="156" spans="2:5">
      <c r="B156" s="623"/>
      <c r="C156" s="616" t="s">
        <v>50</v>
      </c>
      <c r="D156" s="616"/>
      <c r="E156" s="12">
        <f>ECSF!I40</f>
        <v>0</v>
      </c>
    </row>
    <row r="157" spans="2:5">
      <c r="B157" s="623"/>
      <c r="C157" s="616" t="s">
        <v>51</v>
      </c>
      <c r="D157" s="616"/>
      <c r="E157" s="12">
        <f>ECSF!I41</f>
        <v>0</v>
      </c>
    </row>
    <row r="158" spans="2:5">
      <c r="B158" s="623"/>
      <c r="C158" s="616" t="s">
        <v>52</v>
      </c>
      <c r="D158" s="616"/>
      <c r="E158" s="12">
        <f>ECSF!I42</f>
        <v>0</v>
      </c>
    </row>
    <row r="159" spans="2:5">
      <c r="B159" s="623"/>
      <c r="C159" s="618" t="s">
        <v>53</v>
      </c>
      <c r="D159" s="618"/>
      <c r="E159" s="11">
        <f>ECSF!I44</f>
        <v>5878459</v>
      </c>
    </row>
    <row r="160" spans="2:5">
      <c r="B160" s="623"/>
      <c r="C160" s="616" t="s">
        <v>54</v>
      </c>
      <c r="D160" s="616"/>
      <c r="E160" s="12">
        <f>ECSF!I46</f>
        <v>185492</v>
      </c>
    </row>
    <row r="161" spans="2:5">
      <c r="B161" s="623"/>
      <c r="C161" s="616" t="s">
        <v>55</v>
      </c>
      <c r="D161" s="616"/>
      <c r="E161" s="12">
        <f>ECSF!I47</f>
        <v>1083208</v>
      </c>
    </row>
    <row r="162" spans="2:5">
      <c r="B162" s="623"/>
      <c r="C162" s="616" t="s">
        <v>56</v>
      </c>
      <c r="D162" s="616"/>
      <c r="E162" s="12">
        <f>ECSF!I48</f>
        <v>0</v>
      </c>
    </row>
    <row r="163" spans="2:5">
      <c r="B163" s="623"/>
      <c r="C163" s="616" t="s">
        <v>57</v>
      </c>
      <c r="D163" s="616"/>
      <c r="E163" s="12">
        <f>ECSF!I49</f>
        <v>0</v>
      </c>
    </row>
    <row r="164" spans="2:5">
      <c r="B164" s="623"/>
      <c r="C164" s="616" t="s">
        <v>58</v>
      </c>
      <c r="D164" s="616"/>
      <c r="E164" s="12">
        <f>ECSF!I50</f>
        <v>4609759</v>
      </c>
    </row>
    <row r="165" spans="2:5">
      <c r="B165" s="623"/>
      <c r="C165" s="618" t="s">
        <v>59</v>
      </c>
      <c r="D165" s="618"/>
      <c r="E165" s="11">
        <f>ECSF!I52</f>
        <v>0</v>
      </c>
    </row>
    <row r="166" spans="2:5">
      <c r="B166" s="623"/>
      <c r="C166" s="616" t="s">
        <v>60</v>
      </c>
      <c r="D166" s="616"/>
      <c r="E166" s="12">
        <f>ECSF!I54</f>
        <v>0</v>
      </c>
    </row>
    <row r="167" spans="2:5" ht="15" customHeight="1" thickBot="1">
      <c r="B167" s="624"/>
      <c r="C167" s="616" t="s">
        <v>61</v>
      </c>
      <c r="D167" s="616"/>
      <c r="E167" s="12">
        <f>ECSF!I55</f>
        <v>0</v>
      </c>
    </row>
    <row r="168" spans="2:5">
      <c r="B168" s="623" t="s">
        <v>68</v>
      </c>
      <c r="C168" s="618" t="s">
        <v>6</v>
      </c>
      <c r="D168" s="618"/>
      <c r="E168" s="11">
        <f>ECSF!E14</f>
        <v>5962715</v>
      </c>
    </row>
    <row r="169" spans="2:5" ht="15" customHeight="1">
      <c r="B169" s="623"/>
      <c r="C169" s="618" t="s">
        <v>8</v>
      </c>
      <c r="D169" s="618"/>
      <c r="E169" s="11">
        <f>ECSF!E16</f>
        <v>1340962</v>
      </c>
    </row>
    <row r="170" spans="2:5" ht="15" customHeight="1">
      <c r="B170" s="623"/>
      <c r="C170" s="616" t="s">
        <v>10</v>
      </c>
      <c r="D170" s="616"/>
      <c r="E170" s="12">
        <f>ECSF!E18</f>
        <v>1339635</v>
      </c>
    </row>
    <row r="171" spans="2:5" ht="15" customHeight="1">
      <c r="B171" s="623"/>
      <c r="C171" s="616" t="s">
        <v>12</v>
      </c>
      <c r="D171" s="616"/>
      <c r="E171" s="12">
        <f>ECSF!E19</f>
        <v>1327</v>
      </c>
    </row>
    <row r="172" spans="2:5">
      <c r="B172" s="623"/>
      <c r="C172" s="616" t="s">
        <v>14</v>
      </c>
      <c r="D172" s="616"/>
      <c r="E172" s="12">
        <f>ECSF!E20</f>
        <v>0</v>
      </c>
    </row>
    <row r="173" spans="2:5">
      <c r="B173" s="623"/>
      <c r="C173" s="616" t="s">
        <v>16</v>
      </c>
      <c r="D173" s="616"/>
      <c r="E173" s="12">
        <f>ECSF!E21</f>
        <v>0</v>
      </c>
    </row>
    <row r="174" spans="2:5" ht="15" customHeight="1">
      <c r="B174" s="623"/>
      <c r="C174" s="616" t="s">
        <v>18</v>
      </c>
      <c r="D174" s="616"/>
      <c r="E174" s="12">
        <f>ECSF!E22</f>
        <v>0</v>
      </c>
    </row>
    <row r="175" spans="2:5" ht="15" customHeight="1">
      <c r="B175" s="623"/>
      <c r="C175" s="616" t="s">
        <v>20</v>
      </c>
      <c r="D175" s="616"/>
      <c r="E175" s="12">
        <f>ECSF!E23</f>
        <v>0</v>
      </c>
    </row>
    <row r="176" spans="2:5">
      <c r="B176" s="623"/>
      <c r="C176" s="616" t="s">
        <v>22</v>
      </c>
      <c r="D176" s="616"/>
      <c r="E176" s="12">
        <f>ECSF!E24</f>
        <v>0</v>
      </c>
    </row>
    <row r="177" spans="2:5" ht="15" customHeight="1">
      <c r="B177" s="623"/>
      <c r="C177" s="618" t="s">
        <v>27</v>
      </c>
      <c r="D177" s="618"/>
      <c r="E177" s="11">
        <f>ECSF!E26</f>
        <v>4621753</v>
      </c>
    </row>
    <row r="178" spans="2:5">
      <c r="B178" s="623"/>
      <c r="C178" s="616" t="s">
        <v>29</v>
      </c>
      <c r="D178" s="616"/>
      <c r="E178" s="12">
        <f>ECSF!E28</f>
        <v>0</v>
      </c>
    </row>
    <row r="179" spans="2:5" ht="15" customHeight="1">
      <c r="B179" s="623"/>
      <c r="C179" s="616" t="s">
        <v>31</v>
      </c>
      <c r="D179" s="616"/>
      <c r="E179" s="12">
        <f>ECSF!E29</f>
        <v>0</v>
      </c>
    </row>
    <row r="180" spans="2:5" ht="15" customHeight="1">
      <c r="B180" s="623"/>
      <c r="C180" s="616" t="s">
        <v>33</v>
      </c>
      <c r="D180" s="616"/>
      <c r="E180" s="12">
        <f>ECSF!E30</f>
        <v>3324187</v>
      </c>
    </row>
    <row r="181" spans="2:5" ht="15" customHeight="1">
      <c r="B181" s="623"/>
      <c r="C181" s="616" t="s">
        <v>35</v>
      </c>
      <c r="D181" s="616"/>
      <c r="E181" s="12">
        <f>ECSF!E31</f>
        <v>1297566</v>
      </c>
    </row>
    <row r="182" spans="2:5" ht="15" customHeight="1">
      <c r="B182" s="623"/>
      <c r="C182" s="616" t="s">
        <v>37</v>
      </c>
      <c r="D182" s="616"/>
      <c r="E182" s="12">
        <f>ECSF!E32</f>
        <v>0</v>
      </c>
    </row>
    <row r="183" spans="2:5" ht="15" customHeight="1">
      <c r="B183" s="623"/>
      <c r="C183" s="616" t="s">
        <v>39</v>
      </c>
      <c r="D183" s="616"/>
      <c r="E183" s="12">
        <f>ECSF!E33</f>
        <v>0</v>
      </c>
    </row>
    <row r="184" spans="2:5" ht="15" customHeight="1">
      <c r="B184" s="623"/>
      <c r="C184" s="616" t="s">
        <v>41</v>
      </c>
      <c r="D184" s="616"/>
      <c r="E184" s="12">
        <f>ECSF!E34</f>
        <v>0</v>
      </c>
    </row>
    <row r="185" spans="2:5" ht="15" customHeight="1">
      <c r="B185" s="623"/>
      <c r="C185" s="616" t="s">
        <v>42</v>
      </c>
      <c r="D185" s="616"/>
      <c r="E185" s="12">
        <f>ECSF!E35</f>
        <v>0</v>
      </c>
    </row>
    <row r="186" spans="2:5" ht="15" customHeight="1">
      <c r="B186" s="623"/>
      <c r="C186" s="616" t="s">
        <v>44</v>
      </c>
      <c r="D186" s="616"/>
      <c r="E186" s="12">
        <f>ECSF!E36</f>
        <v>0</v>
      </c>
    </row>
    <row r="187" spans="2:5" ht="15" customHeight="1">
      <c r="B187" s="623"/>
      <c r="C187" s="618" t="s">
        <v>7</v>
      </c>
      <c r="D187" s="618"/>
      <c r="E187" s="11">
        <f>ECSF!J14</f>
        <v>0</v>
      </c>
    </row>
    <row r="188" spans="2:5">
      <c r="B188" s="623"/>
      <c r="C188" s="618" t="s">
        <v>9</v>
      </c>
      <c r="D188" s="618"/>
      <c r="E188" s="11">
        <f>ECSF!J16</f>
        <v>0</v>
      </c>
    </row>
    <row r="189" spans="2:5">
      <c r="B189" s="623"/>
      <c r="C189" s="616" t="s">
        <v>11</v>
      </c>
      <c r="D189" s="616"/>
      <c r="E189" s="12">
        <f>ECSF!J18</f>
        <v>0</v>
      </c>
    </row>
    <row r="190" spans="2:5">
      <c r="B190" s="623"/>
      <c r="C190" s="616" t="s">
        <v>13</v>
      </c>
      <c r="D190" s="616"/>
      <c r="E190" s="12">
        <f>ECSF!J19</f>
        <v>0</v>
      </c>
    </row>
    <row r="191" spans="2:5" ht="15" customHeight="1">
      <c r="B191" s="623"/>
      <c r="C191" s="616" t="s">
        <v>15</v>
      </c>
      <c r="D191" s="616"/>
      <c r="E191" s="12">
        <f>ECSF!J20</f>
        <v>0</v>
      </c>
    </row>
    <row r="192" spans="2:5">
      <c r="B192" s="623"/>
      <c r="C192" s="616" t="s">
        <v>17</v>
      </c>
      <c r="D192" s="616"/>
      <c r="E192" s="12">
        <f>ECSF!J21</f>
        <v>0</v>
      </c>
    </row>
    <row r="193" spans="2:5" ht="15" customHeight="1">
      <c r="B193" s="623"/>
      <c r="C193" s="616" t="s">
        <v>19</v>
      </c>
      <c r="D193" s="616"/>
      <c r="E193" s="12">
        <f>ECSF!J22</f>
        <v>0</v>
      </c>
    </row>
    <row r="194" spans="2:5" ht="15" customHeight="1">
      <c r="B194" s="623"/>
      <c r="C194" s="616" t="s">
        <v>21</v>
      </c>
      <c r="D194" s="616"/>
      <c r="E194" s="12">
        <f>ECSF!J23</f>
        <v>0</v>
      </c>
    </row>
    <row r="195" spans="2:5" ht="15" customHeight="1">
      <c r="B195" s="623"/>
      <c r="C195" s="616" t="s">
        <v>23</v>
      </c>
      <c r="D195" s="616"/>
      <c r="E195" s="12">
        <f>ECSF!J24</f>
        <v>0</v>
      </c>
    </row>
    <row r="196" spans="2:5" ht="15" customHeight="1">
      <c r="B196" s="623"/>
      <c r="C196" s="616" t="s">
        <v>24</v>
      </c>
      <c r="D196" s="616"/>
      <c r="E196" s="12">
        <f>ECSF!J25</f>
        <v>0</v>
      </c>
    </row>
    <row r="197" spans="2:5" ht="15" customHeight="1">
      <c r="B197" s="623"/>
      <c r="C197" s="625" t="s">
        <v>28</v>
      </c>
      <c r="D197" s="625"/>
      <c r="E197" s="11">
        <f>ECSF!J27</f>
        <v>0</v>
      </c>
    </row>
    <row r="198" spans="2:5" ht="15" customHeight="1">
      <c r="B198" s="623"/>
      <c r="C198" s="616" t="s">
        <v>30</v>
      </c>
      <c r="D198" s="616"/>
      <c r="E198" s="12">
        <f>ECSF!J29</f>
        <v>0</v>
      </c>
    </row>
    <row r="199" spans="2:5" ht="15" customHeight="1">
      <c r="B199" s="623"/>
      <c r="C199" s="616" t="s">
        <v>32</v>
      </c>
      <c r="D199" s="616"/>
      <c r="E199" s="12">
        <f>ECSF!J30</f>
        <v>0</v>
      </c>
    </row>
    <row r="200" spans="2:5" ht="15" customHeight="1">
      <c r="B200" s="623"/>
      <c r="C200" s="616" t="s">
        <v>34</v>
      </c>
      <c r="D200" s="616"/>
      <c r="E200" s="12">
        <f>ECSF!J31</f>
        <v>0</v>
      </c>
    </row>
    <row r="201" spans="2:5">
      <c r="B201" s="623"/>
      <c r="C201" s="616" t="s">
        <v>36</v>
      </c>
      <c r="D201" s="616"/>
      <c r="E201" s="12">
        <f>ECSF!J32</f>
        <v>0</v>
      </c>
    </row>
    <row r="202" spans="2:5" ht="15" customHeight="1">
      <c r="B202" s="623"/>
      <c r="C202" s="616" t="s">
        <v>38</v>
      </c>
      <c r="D202" s="616"/>
      <c r="E202" s="12">
        <f>ECSF!J33</f>
        <v>0</v>
      </c>
    </row>
    <row r="203" spans="2:5">
      <c r="B203" s="623"/>
      <c r="C203" s="616" t="s">
        <v>40</v>
      </c>
      <c r="D203" s="616"/>
      <c r="E203" s="12">
        <f>ECSF!J34</f>
        <v>0</v>
      </c>
    </row>
    <row r="204" spans="2:5" ht="15" customHeight="1">
      <c r="B204" s="623"/>
      <c r="C204" s="618" t="s">
        <v>47</v>
      </c>
      <c r="D204" s="618"/>
      <c r="E204" s="11">
        <f>ECSF!J36</f>
        <v>0</v>
      </c>
    </row>
    <row r="205" spans="2:5" ht="15" customHeight="1">
      <c r="B205" s="623"/>
      <c r="C205" s="618" t="s">
        <v>49</v>
      </c>
      <c r="D205" s="618"/>
      <c r="E205" s="11">
        <f>ECSF!J38</f>
        <v>0</v>
      </c>
    </row>
    <row r="206" spans="2:5" ht="15" customHeight="1">
      <c r="B206" s="623"/>
      <c r="C206" s="616" t="s">
        <v>50</v>
      </c>
      <c r="D206" s="616"/>
      <c r="E206" s="12">
        <f>ECSF!J40</f>
        <v>0</v>
      </c>
    </row>
    <row r="207" spans="2:5" ht="15" customHeight="1">
      <c r="B207" s="623"/>
      <c r="C207" s="616" t="s">
        <v>51</v>
      </c>
      <c r="D207" s="616"/>
      <c r="E207" s="12">
        <f>ECSF!J41</f>
        <v>0</v>
      </c>
    </row>
    <row r="208" spans="2:5" ht="15" customHeight="1">
      <c r="B208" s="623"/>
      <c r="C208" s="616" t="s">
        <v>52</v>
      </c>
      <c r="D208" s="616"/>
      <c r="E208" s="12">
        <f>ECSF!J42</f>
        <v>0</v>
      </c>
    </row>
    <row r="209" spans="2:5" ht="15" customHeight="1">
      <c r="B209" s="623"/>
      <c r="C209" s="618" t="s">
        <v>53</v>
      </c>
      <c r="D209" s="618"/>
      <c r="E209" s="11">
        <f>ECSF!J44</f>
        <v>0</v>
      </c>
    </row>
    <row r="210" spans="2:5">
      <c r="B210" s="623"/>
      <c r="C210" s="616" t="s">
        <v>54</v>
      </c>
      <c r="D210" s="616"/>
      <c r="E210" s="12">
        <f>ECSF!J46</f>
        <v>0</v>
      </c>
    </row>
    <row r="211" spans="2:5" ht="15" customHeight="1">
      <c r="B211" s="623"/>
      <c r="C211" s="616" t="s">
        <v>55</v>
      </c>
      <c r="D211" s="616"/>
      <c r="E211" s="12">
        <f>ECSF!J47</f>
        <v>0</v>
      </c>
    </row>
    <row r="212" spans="2:5">
      <c r="B212" s="623"/>
      <c r="C212" s="616" t="s">
        <v>56</v>
      </c>
      <c r="D212" s="616"/>
      <c r="E212" s="12">
        <f>ECSF!J48</f>
        <v>0</v>
      </c>
    </row>
    <row r="213" spans="2:5" ht="15" customHeight="1">
      <c r="B213" s="623"/>
      <c r="C213" s="616" t="s">
        <v>57</v>
      </c>
      <c r="D213" s="616"/>
      <c r="E213" s="12">
        <f>ECSF!J49</f>
        <v>0</v>
      </c>
    </row>
    <row r="214" spans="2:5">
      <c r="B214" s="623"/>
      <c r="C214" s="616" t="s">
        <v>58</v>
      </c>
      <c r="D214" s="616"/>
      <c r="E214" s="12">
        <f>ECSF!J50</f>
        <v>0</v>
      </c>
    </row>
    <row r="215" spans="2:5">
      <c r="B215" s="623"/>
      <c r="C215" s="618" t="s">
        <v>59</v>
      </c>
      <c r="D215" s="618"/>
      <c r="E215" s="11">
        <f>ECSF!J52</f>
        <v>0</v>
      </c>
    </row>
    <row r="216" spans="2:5">
      <c r="B216" s="623"/>
      <c r="C216" s="616" t="s">
        <v>60</v>
      </c>
      <c r="D216" s="616"/>
      <c r="E216" s="12">
        <f>ECSF!J54</f>
        <v>0</v>
      </c>
    </row>
    <row r="217" spans="2:5" ht="15.75" thickBot="1">
      <c r="B217" s="624"/>
      <c r="C217" s="616" t="s">
        <v>61</v>
      </c>
      <c r="D217" s="616"/>
      <c r="E217" s="12">
        <f>ECSF!J55</f>
        <v>0</v>
      </c>
    </row>
    <row r="218" spans="2:5">
      <c r="C218" s="619" t="s">
        <v>75</v>
      </c>
      <c r="D218" s="5" t="s">
        <v>64</v>
      </c>
      <c r="E218" s="15" t="str">
        <f>ECSF!C62</f>
        <v>Lic. Leonardo Adrián Luna Ramírez</v>
      </c>
    </row>
    <row r="219" spans="2:5">
      <c r="C219" s="615"/>
      <c r="D219" s="5" t="s">
        <v>65</v>
      </c>
      <c r="E219" s="15" t="str">
        <f>ECSF!C63</f>
        <v>Director del Fondo de Ayuda, Asistencia y Reparación de Daño a las Víctimas y Ofendidos</v>
      </c>
    </row>
    <row r="220" spans="2:5">
      <c r="C220" s="615" t="s">
        <v>74</v>
      </c>
      <c r="D220" s="5" t="s">
        <v>64</v>
      </c>
      <c r="E220" s="15" t="str">
        <f>ECSF!G62</f>
        <v>Lic. Leonardo Adrián Luna Ramírez</v>
      </c>
    </row>
    <row r="221" spans="2:5">
      <c r="C221" s="615"/>
      <c r="D221" s="5" t="s">
        <v>65</v>
      </c>
      <c r="E221" s="15" t="str">
        <f>ECSF!G63</f>
        <v>Director del Fondo de Ayuda, Asistencia y Reparación de Daño a las Víctimas y Ofendidos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D63" sqref="D63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627" t="s">
        <v>1018</v>
      </c>
      <c r="C2" s="628"/>
      <c r="D2" s="628"/>
      <c r="E2" s="628"/>
      <c r="F2" s="628"/>
      <c r="G2" s="628"/>
      <c r="H2" s="628"/>
      <c r="I2" s="628"/>
      <c r="J2" s="629"/>
    </row>
    <row r="3" spans="1:10">
      <c r="B3" s="630" t="s">
        <v>409</v>
      </c>
      <c r="C3" s="631"/>
      <c r="D3" s="631"/>
      <c r="E3" s="631"/>
      <c r="F3" s="631"/>
      <c r="G3" s="631"/>
      <c r="H3" s="631"/>
      <c r="I3" s="631"/>
      <c r="J3" s="632"/>
    </row>
    <row r="4" spans="1:10">
      <c r="B4" s="630" t="s">
        <v>206</v>
      </c>
      <c r="C4" s="631"/>
      <c r="D4" s="631"/>
      <c r="E4" s="631"/>
      <c r="F4" s="631"/>
      <c r="G4" s="631"/>
      <c r="H4" s="631"/>
      <c r="I4" s="631"/>
      <c r="J4" s="632"/>
    </row>
    <row r="5" spans="1:10">
      <c r="B5" s="633" t="s">
        <v>1020</v>
      </c>
      <c r="C5" s="634"/>
      <c r="D5" s="634"/>
      <c r="E5" s="634"/>
      <c r="F5" s="634"/>
      <c r="G5" s="634"/>
      <c r="H5" s="634"/>
      <c r="I5" s="634"/>
      <c r="J5" s="635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636" t="s">
        <v>207</v>
      </c>
      <c r="C7" s="636"/>
      <c r="D7" s="636"/>
      <c r="E7" s="636" t="s">
        <v>208</v>
      </c>
      <c r="F7" s="636"/>
      <c r="G7" s="636"/>
      <c r="H7" s="636"/>
      <c r="I7" s="636"/>
      <c r="J7" s="637" t="s">
        <v>209</v>
      </c>
    </row>
    <row r="8" spans="1:10" ht="22.5">
      <c r="A8" s="80"/>
      <c r="B8" s="636"/>
      <c r="C8" s="636"/>
      <c r="D8" s="636"/>
      <c r="E8" s="166" t="s">
        <v>210</v>
      </c>
      <c r="F8" s="109" t="s">
        <v>211</v>
      </c>
      <c r="G8" s="166" t="s">
        <v>212</v>
      </c>
      <c r="H8" s="166" t="s">
        <v>213</v>
      </c>
      <c r="I8" s="166" t="s">
        <v>214</v>
      </c>
      <c r="J8" s="637"/>
    </row>
    <row r="9" spans="1:10" ht="12" customHeight="1">
      <c r="A9" s="80"/>
      <c r="B9" s="636"/>
      <c r="C9" s="636"/>
      <c r="D9" s="636"/>
      <c r="E9" s="166" t="s">
        <v>215</v>
      </c>
      <c r="F9" s="166" t="s">
        <v>216</v>
      </c>
      <c r="G9" s="166" t="s">
        <v>217</v>
      </c>
      <c r="H9" s="166" t="s">
        <v>218</v>
      </c>
      <c r="I9" s="166" t="s">
        <v>219</v>
      </c>
      <c r="J9" s="166" t="s">
        <v>233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638" t="s">
        <v>86</v>
      </c>
      <c r="C11" s="639"/>
      <c r="D11" s="640"/>
      <c r="E11" s="506">
        <v>0</v>
      </c>
      <c r="F11" s="506">
        <v>0</v>
      </c>
      <c r="G11" s="506">
        <f>+E11+F11</f>
        <v>0</v>
      </c>
      <c r="H11" s="506">
        <v>0</v>
      </c>
      <c r="I11" s="506">
        <v>0</v>
      </c>
      <c r="J11" s="506">
        <f>+I11-E11</f>
        <v>0</v>
      </c>
    </row>
    <row r="12" spans="1:10" ht="12" customHeight="1">
      <c r="A12" s="83"/>
      <c r="B12" s="638" t="s">
        <v>200</v>
      </c>
      <c r="C12" s="639"/>
      <c r="D12" s="640"/>
      <c r="E12" s="506">
        <v>0</v>
      </c>
      <c r="F12" s="506">
        <v>0</v>
      </c>
      <c r="G12" s="506">
        <f t="shared" ref="G12:G24" si="0">+E12+F12</f>
        <v>0</v>
      </c>
      <c r="H12" s="506">
        <v>0</v>
      </c>
      <c r="I12" s="506">
        <v>0</v>
      </c>
      <c r="J12" s="506">
        <f t="shared" ref="J12:J24" si="1">+I12-E12</f>
        <v>0</v>
      </c>
    </row>
    <row r="13" spans="1:10" ht="12" customHeight="1">
      <c r="A13" s="83"/>
      <c r="B13" s="638" t="s">
        <v>90</v>
      </c>
      <c r="C13" s="639"/>
      <c r="D13" s="640"/>
      <c r="E13" s="506">
        <v>0</v>
      </c>
      <c r="F13" s="506">
        <v>0</v>
      </c>
      <c r="G13" s="506">
        <f t="shared" si="0"/>
        <v>0</v>
      </c>
      <c r="H13" s="506">
        <v>0</v>
      </c>
      <c r="I13" s="506">
        <v>0</v>
      </c>
      <c r="J13" s="506">
        <f t="shared" si="1"/>
        <v>0</v>
      </c>
    </row>
    <row r="14" spans="1:10" ht="12" customHeight="1">
      <c r="A14" s="83"/>
      <c r="B14" s="638" t="s">
        <v>92</v>
      </c>
      <c r="C14" s="639"/>
      <c r="D14" s="640"/>
      <c r="E14" s="506">
        <v>0</v>
      </c>
      <c r="F14" s="506">
        <v>0</v>
      </c>
      <c r="G14" s="506">
        <f t="shared" si="0"/>
        <v>0</v>
      </c>
      <c r="H14" s="506">
        <v>0</v>
      </c>
      <c r="I14" s="506">
        <v>0</v>
      </c>
      <c r="J14" s="506">
        <f t="shared" si="1"/>
        <v>0</v>
      </c>
    </row>
    <row r="15" spans="1:10" ht="12" customHeight="1">
      <c r="A15" s="83"/>
      <c r="B15" s="638" t="s">
        <v>220</v>
      </c>
      <c r="C15" s="639"/>
      <c r="D15" s="640"/>
      <c r="E15" s="506">
        <f>+E16+E17</f>
        <v>0</v>
      </c>
      <c r="F15" s="506">
        <f>+F16+F17</f>
        <v>0</v>
      </c>
      <c r="G15" s="506">
        <f>+G16+G17</f>
        <v>0</v>
      </c>
      <c r="H15" s="506">
        <f>+H16+H17</f>
        <v>0</v>
      </c>
      <c r="I15" s="506">
        <f>+I16+I17</f>
        <v>0</v>
      </c>
      <c r="J15" s="506">
        <f t="shared" si="1"/>
        <v>0</v>
      </c>
    </row>
    <row r="16" spans="1:10" ht="12" customHeight="1">
      <c r="A16" s="83"/>
      <c r="B16" s="90"/>
      <c r="C16" s="639" t="s">
        <v>221</v>
      </c>
      <c r="D16" s="640"/>
      <c r="E16" s="506">
        <v>0</v>
      </c>
      <c r="F16" s="506">
        <v>0</v>
      </c>
      <c r="G16" s="506">
        <f t="shared" si="0"/>
        <v>0</v>
      </c>
      <c r="H16" s="506">
        <v>0</v>
      </c>
      <c r="I16" s="506">
        <v>0</v>
      </c>
      <c r="J16" s="506">
        <v>0</v>
      </c>
    </row>
    <row r="17" spans="1:10" ht="12" customHeight="1">
      <c r="A17" s="83"/>
      <c r="B17" s="90"/>
      <c r="C17" s="639" t="s">
        <v>222</v>
      </c>
      <c r="D17" s="640"/>
      <c r="E17" s="506">
        <v>0</v>
      </c>
      <c r="F17" s="506">
        <v>0</v>
      </c>
      <c r="G17" s="506">
        <f t="shared" si="0"/>
        <v>0</v>
      </c>
      <c r="H17" s="506">
        <v>0</v>
      </c>
      <c r="I17" s="506">
        <v>0</v>
      </c>
      <c r="J17" s="506">
        <f t="shared" si="1"/>
        <v>0</v>
      </c>
    </row>
    <row r="18" spans="1:10" ht="12" customHeight="1">
      <c r="A18" s="83"/>
      <c r="B18" s="638" t="s">
        <v>223</v>
      </c>
      <c r="C18" s="639"/>
      <c r="D18" s="640"/>
      <c r="E18" s="506">
        <f>+E19+E20</f>
        <v>0</v>
      </c>
      <c r="F18" s="506">
        <f>+F19+F20</f>
        <v>0</v>
      </c>
      <c r="G18" s="506">
        <f t="shared" si="0"/>
        <v>0</v>
      </c>
      <c r="H18" s="506">
        <f>+H19+H20</f>
        <v>0</v>
      </c>
      <c r="I18" s="506">
        <f>+I19+I20</f>
        <v>0</v>
      </c>
      <c r="J18" s="506">
        <f t="shared" si="1"/>
        <v>0</v>
      </c>
    </row>
    <row r="19" spans="1:10" ht="12" customHeight="1">
      <c r="A19" s="83"/>
      <c r="B19" s="90"/>
      <c r="C19" s="639" t="s">
        <v>221</v>
      </c>
      <c r="D19" s="640"/>
      <c r="E19" s="506">
        <v>0</v>
      </c>
      <c r="F19" s="506">
        <v>0</v>
      </c>
      <c r="G19" s="506">
        <f t="shared" si="0"/>
        <v>0</v>
      </c>
      <c r="H19" s="506">
        <v>0</v>
      </c>
      <c r="I19" s="506">
        <v>0</v>
      </c>
      <c r="J19" s="506">
        <f t="shared" si="1"/>
        <v>0</v>
      </c>
    </row>
    <row r="20" spans="1:10" ht="12" customHeight="1">
      <c r="A20" s="83"/>
      <c r="B20" s="90"/>
      <c r="C20" s="639" t="s">
        <v>222</v>
      </c>
      <c r="D20" s="640"/>
      <c r="E20" s="506">
        <v>0</v>
      </c>
      <c r="F20" s="506">
        <v>0</v>
      </c>
      <c r="G20" s="506">
        <f t="shared" si="0"/>
        <v>0</v>
      </c>
      <c r="H20" s="506">
        <v>0</v>
      </c>
      <c r="I20" s="506">
        <v>0</v>
      </c>
      <c r="J20" s="506">
        <f t="shared" si="1"/>
        <v>0</v>
      </c>
    </row>
    <row r="21" spans="1:10" ht="12" customHeight="1">
      <c r="A21" s="83"/>
      <c r="B21" s="638" t="s">
        <v>224</v>
      </c>
      <c r="C21" s="639"/>
      <c r="D21" s="640"/>
      <c r="E21" s="506">
        <v>0</v>
      </c>
      <c r="F21" s="506">
        <v>0</v>
      </c>
      <c r="G21" s="506">
        <f t="shared" si="0"/>
        <v>0</v>
      </c>
      <c r="H21" s="506">
        <v>0</v>
      </c>
      <c r="I21" s="506">
        <v>0</v>
      </c>
      <c r="J21" s="506">
        <f t="shared" si="1"/>
        <v>0</v>
      </c>
    </row>
    <row r="22" spans="1:10" ht="12" customHeight="1">
      <c r="A22" s="83"/>
      <c r="B22" s="638" t="s">
        <v>103</v>
      </c>
      <c r="C22" s="639"/>
      <c r="D22" s="640"/>
      <c r="E22" s="506">
        <v>0</v>
      </c>
      <c r="F22" s="506">
        <v>0</v>
      </c>
      <c r="G22" s="506">
        <f t="shared" si="0"/>
        <v>0</v>
      </c>
      <c r="H22" s="506">
        <v>0</v>
      </c>
      <c r="I22" s="506">
        <v>0</v>
      </c>
      <c r="J22" s="506">
        <f t="shared" si="1"/>
        <v>0</v>
      </c>
    </row>
    <row r="23" spans="1:10" ht="12" customHeight="1">
      <c r="A23" s="91"/>
      <c r="B23" s="638" t="s">
        <v>225</v>
      </c>
      <c r="C23" s="639"/>
      <c r="D23" s="640"/>
      <c r="E23" s="508">
        <v>2516000</v>
      </c>
      <c r="F23" s="508">
        <v>0</v>
      </c>
      <c r="G23" s="508">
        <f t="shared" si="0"/>
        <v>2516000</v>
      </c>
      <c r="H23" s="508">
        <v>438032</v>
      </c>
      <c r="I23" s="508">
        <v>438032</v>
      </c>
      <c r="J23" s="506">
        <f>+I23-E23</f>
        <v>-2077968</v>
      </c>
    </row>
    <row r="24" spans="1:10" ht="12" customHeight="1">
      <c r="A24" s="83"/>
      <c r="B24" s="638" t="s">
        <v>226</v>
      </c>
      <c r="C24" s="639"/>
      <c r="D24" s="640"/>
      <c r="E24" s="508">
        <v>0</v>
      </c>
      <c r="F24" s="508">
        <v>0</v>
      </c>
      <c r="G24" s="508">
        <f t="shared" si="0"/>
        <v>0</v>
      </c>
      <c r="H24" s="508">
        <v>0</v>
      </c>
      <c r="I24" s="508">
        <v>0</v>
      </c>
      <c r="J24" s="506">
        <f t="shared" si="1"/>
        <v>0</v>
      </c>
    </row>
    <row r="25" spans="1:10" ht="12" customHeight="1">
      <c r="A25" s="83"/>
      <c r="B25" s="92"/>
      <c r="C25" s="93"/>
      <c r="D25" s="94"/>
      <c r="E25" s="509"/>
      <c r="F25" s="510"/>
      <c r="G25" s="510"/>
      <c r="H25" s="510"/>
      <c r="I25" s="510"/>
      <c r="J25" s="507"/>
    </row>
    <row r="26" spans="1:10" ht="12" customHeight="1">
      <c r="A26" s="80"/>
      <c r="B26" s="96"/>
      <c r="C26" s="97"/>
      <c r="D26" s="98" t="s">
        <v>227</v>
      </c>
      <c r="E26" s="508">
        <f>SUM(E11+E12+E13+E14+E15+E18+E21+E22+E23+E24)</f>
        <v>2516000</v>
      </c>
      <c r="F26" s="508">
        <f>SUM(F11+F12+F13+F14+F15+F18+F21+F22+F23+F24)</f>
        <v>0</v>
      </c>
      <c r="G26" s="508">
        <f>SUM(G11+G12+G13+G14+G15+G18+G21+G22+G23+G24)</f>
        <v>2516000</v>
      </c>
      <c r="H26" s="508">
        <f>SUM(H11+H12+H13+H14+H15+H18+H21+H22+H23+H24)</f>
        <v>438032</v>
      </c>
      <c r="I26" s="508">
        <f>SUM(I11+I12+I13+I14+I15+I18+I21+I22+I23+I24)</f>
        <v>438032</v>
      </c>
      <c r="J26" s="641">
        <f>SUM(J11:J24)</f>
        <v>-2077968</v>
      </c>
    </row>
    <row r="27" spans="1:10" ht="12" customHeight="1">
      <c r="A27" s="83"/>
      <c r="B27" s="99"/>
      <c r="C27" s="99"/>
      <c r="D27" s="99"/>
      <c r="E27" s="511"/>
      <c r="F27" s="511"/>
      <c r="G27" s="511"/>
      <c r="H27" s="643" t="s">
        <v>407</v>
      </c>
      <c r="I27" s="644"/>
      <c r="J27" s="642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637" t="s">
        <v>228</v>
      </c>
      <c r="C29" s="637"/>
      <c r="D29" s="637"/>
      <c r="E29" s="636" t="s">
        <v>208</v>
      </c>
      <c r="F29" s="636"/>
      <c r="G29" s="636"/>
      <c r="H29" s="636"/>
      <c r="I29" s="636"/>
      <c r="J29" s="637" t="s">
        <v>209</v>
      </c>
    </row>
    <row r="30" spans="1:10" ht="22.5">
      <c r="A30" s="80"/>
      <c r="B30" s="637"/>
      <c r="C30" s="637"/>
      <c r="D30" s="637"/>
      <c r="E30" s="166" t="s">
        <v>210</v>
      </c>
      <c r="F30" s="109" t="s">
        <v>211</v>
      </c>
      <c r="G30" s="166" t="s">
        <v>212</v>
      </c>
      <c r="H30" s="166" t="s">
        <v>213</v>
      </c>
      <c r="I30" s="166" t="s">
        <v>214</v>
      </c>
      <c r="J30" s="637"/>
    </row>
    <row r="31" spans="1:10" ht="12" customHeight="1">
      <c r="A31" s="80"/>
      <c r="B31" s="637"/>
      <c r="C31" s="637"/>
      <c r="D31" s="637"/>
      <c r="E31" s="166" t="s">
        <v>215</v>
      </c>
      <c r="F31" s="166" t="s">
        <v>216</v>
      </c>
      <c r="G31" s="166" t="s">
        <v>217</v>
      </c>
      <c r="H31" s="166" t="s">
        <v>218</v>
      </c>
      <c r="I31" s="166" t="s">
        <v>219</v>
      </c>
      <c r="J31" s="166" t="s">
        <v>233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0" t="s">
        <v>229</v>
      </c>
      <c r="C33" s="101"/>
      <c r="D33" s="110"/>
      <c r="E33" s="514">
        <f>+E34+E35+E36+E37+E40+E43+E44</f>
        <v>2516000</v>
      </c>
      <c r="F33" s="514">
        <f t="shared" ref="F33:J33" si="2">+F34+F35+F36+F37+F40+F43+F44</f>
        <v>0</v>
      </c>
      <c r="G33" s="514">
        <f t="shared" si="2"/>
        <v>2516000</v>
      </c>
      <c r="H33" s="514">
        <f t="shared" si="2"/>
        <v>438032</v>
      </c>
      <c r="I33" s="514">
        <f t="shared" si="2"/>
        <v>438032</v>
      </c>
      <c r="J33" s="514">
        <f t="shared" si="2"/>
        <v>-2077968</v>
      </c>
    </row>
    <row r="34" spans="1:10" ht="12" customHeight="1">
      <c r="A34" s="83"/>
      <c r="B34" s="90"/>
      <c r="C34" s="639" t="s">
        <v>86</v>
      </c>
      <c r="D34" s="640"/>
      <c r="E34" s="506">
        <v>0</v>
      </c>
      <c r="F34" s="506">
        <v>0</v>
      </c>
      <c r="G34" s="506">
        <f>+E34+F34</f>
        <v>0</v>
      </c>
      <c r="H34" s="506">
        <v>0</v>
      </c>
      <c r="I34" s="506">
        <v>0</v>
      </c>
      <c r="J34" s="506">
        <f>+I34-E34</f>
        <v>0</v>
      </c>
    </row>
    <row r="35" spans="1:10" ht="12" customHeight="1">
      <c r="A35" s="83"/>
      <c r="B35" s="90"/>
      <c r="C35" s="639" t="s">
        <v>90</v>
      </c>
      <c r="D35" s="640"/>
      <c r="E35" s="506">
        <v>0</v>
      </c>
      <c r="F35" s="506">
        <v>0</v>
      </c>
      <c r="G35" s="506">
        <f t="shared" ref="G35:G49" si="3">+E35+F35</f>
        <v>0</v>
      </c>
      <c r="H35" s="506">
        <v>0</v>
      </c>
      <c r="I35" s="506">
        <v>0</v>
      </c>
      <c r="J35" s="506">
        <f t="shared" ref="J35:J52" si="4">+I35-E35</f>
        <v>0</v>
      </c>
    </row>
    <row r="36" spans="1:10" ht="12" customHeight="1">
      <c r="A36" s="83"/>
      <c r="B36" s="90"/>
      <c r="C36" s="639" t="s">
        <v>92</v>
      </c>
      <c r="D36" s="640"/>
      <c r="E36" s="506">
        <v>0</v>
      </c>
      <c r="F36" s="506">
        <v>0</v>
      </c>
      <c r="G36" s="506">
        <f t="shared" si="3"/>
        <v>0</v>
      </c>
      <c r="H36" s="506">
        <v>0</v>
      </c>
      <c r="I36" s="506">
        <v>0</v>
      </c>
      <c r="J36" s="506">
        <f t="shared" si="4"/>
        <v>0</v>
      </c>
    </row>
    <row r="37" spans="1:10" ht="12" customHeight="1">
      <c r="A37" s="83"/>
      <c r="B37" s="90"/>
      <c r="C37" s="639" t="s">
        <v>220</v>
      </c>
      <c r="D37" s="640"/>
      <c r="E37" s="506">
        <f>+E38+E39</f>
        <v>0</v>
      </c>
      <c r="F37" s="506">
        <f>+F38+F39</f>
        <v>0</v>
      </c>
      <c r="G37" s="506">
        <f t="shared" si="3"/>
        <v>0</v>
      </c>
      <c r="H37" s="506">
        <f>+H38+H39</f>
        <v>0</v>
      </c>
      <c r="I37" s="506">
        <f>+I38+I39</f>
        <v>0</v>
      </c>
      <c r="J37" s="506">
        <f t="shared" si="4"/>
        <v>0</v>
      </c>
    </row>
    <row r="38" spans="1:10" ht="12" customHeight="1">
      <c r="A38" s="83"/>
      <c r="B38" s="90"/>
      <c r="C38" s="111"/>
      <c r="D38" s="103" t="s">
        <v>221</v>
      </c>
      <c r="E38" s="506">
        <v>0</v>
      </c>
      <c r="F38" s="506">
        <v>0</v>
      </c>
      <c r="G38" s="506">
        <v>0</v>
      </c>
      <c r="H38" s="506">
        <v>0</v>
      </c>
      <c r="I38" s="506">
        <v>0</v>
      </c>
      <c r="J38" s="506">
        <f t="shared" si="4"/>
        <v>0</v>
      </c>
    </row>
    <row r="39" spans="1:10" ht="12" customHeight="1">
      <c r="A39" s="83"/>
      <c r="B39" s="90"/>
      <c r="C39" s="111"/>
      <c r="D39" s="103" t="s">
        <v>222</v>
      </c>
      <c r="E39" s="506">
        <v>0</v>
      </c>
      <c r="F39" s="506">
        <v>0</v>
      </c>
      <c r="G39" s="506">
        <f t="shared" si="3"/>
        <v>0</v>
      </c>
      <c r="H39" s="506">
        <v>0</v>
      </c>
      <c r="I39" s="506">
        <v>0</v>
      </c>
      <c r="J39" s="506">
        <f t="shared" si="4"/>
        <v>0</v>
      </c>
    </row>
    <row r="40" spans="1:10" ht="12" customHeight="1">
      <c r="A40" s="83"/>
      <c r="B40" s="90"/>
      <c r="C40" s="639" t="s">
        <v>223</v>
      </c>
      <c r="D40" s="640"/>
      <c r="E40" s="506">
        <f>+E41+E42</f>
        <v>0</v>
      </c>
      <c r="F40" s="506">
        <f>+F41+F42</f>
        <v>0</v>
      </c>
      <c r="G40" s="506">
        <f>+G41+G42</f>
        <v>0</v>
      </c>
      <c r="H40" s="506">
        <f>+H41+H42</f>
        <v>0</v>
      </c>
      <c r="I40" s="506">
        <f>+I41+I42</f>
        <v>0</v>
      </c>
      <c r="J40" s="506">
        <f t="shared" si="4"/>
        <v>0</v>
      </c>
    </row>
    <row r="41" spans="1:10" ht="12" customHeight="1">
      <c r="A41" s="83"/>
      <c r="B41" s="90"/>
      <c r="C41" s="111"/>
      <c r="D41" s="103" t="s">
        <v>221</v>
      </c>
      <c r="E41" s="506">
        <v>0</v>
      </c>
      <c r="F41" s="506">
        <v>0</v>
      </c>
      <c r="G41" s="506">
        <f t="shared" si="3"/>
        <v>0</v>
      </c>
      <c r="H41" s="506">
        <v>0</v>
      </c>
      <c r="I41" s="506">
        <v>0</v>
      </c>
      <c r="J41" s="506">
        <f t="shared" si="4"/>
        <v>0</v>
      </c>
    </row>
    <row r="42" spans="1:10" ht="12" customHeight="1">
      <c r="A42" s="83"/>
      <c r="B42" s="90"/>
      <c r="C42" s="111"/>
      <c r="D42" s="103" t="s">
        <v>222</v>
      </c>
      <c r="E42" s="506">
        <v>0</v>
      </c>
      <c r="F42" s="506">
        <v>0</v>
      </c>
      <c r="G42" s="506">
        <f t="shared" si="3"/>
        <v>0</v>
      </c>
      <c r="H42" s="506">
        <v>0</v>
      </c>
      <c r="I42" s="506">
        <v>0</v>
      </c>
      <c r="J42" s="506">
        <f t="shared" si="4"/>
        <v>0</v>
      </c>
    </row>
    <row r="43" spans="1:10" ht="12" customHeight="1">
      <c r="A43" s="83"/>
      <c r="B43" s="90"/>
      <c r="C43" s="639" t="s">
        <v>103</v>
      </c>
      <c r="D43" s="640"/>
      <c r="E43" s="506">
        <v>0</v>
      </c>
      <c r="F43" s="506">
        <v>0</v>
      </c>
      <c r="G43" s="506">
        <f t="shared" si="3"/>
        <v>0</v>
      </c>
      <c r="H43" s="506">
        <v>0</v>
      </c>
      <c r="I43" s="506">
        <v>0</v>
      </c>
      <c r="J43" s="506">
        <f t="shared" si="4"/>
        <v>0</v>
      </c>
    </row>
    <row r="44" spans="1:10" ht="12" customHeight="1">
      <c r="A44" s="83"/>
      <c r="B44" s="90"/>
      <c r="C44" s="639" t="s">
        <v>225</v>
      </c>
      <c r="D44" s="640"/>
      <c r="E44" s="508">
        <v>2516000</v>
      </c>
      <c r="F44" s="508">
        <v>0</v>
      </c>
      <c r="G44" s="508">
        <f t="shared" si="3"/>
        <v>2516000</v>
      </c>
      <c r="H44" s="508">
        <v>438032</v>
      </c>
      <c r="I44" s="508">
        <v>438032</v>
      </c>
      <c r="J44" s="508">
        <f>+I44-E44</f>
        <v>-2077968</v>
      </c>
    </row>
    <row r="45" spans="1:10" ht="12" customHeight="1">
      <c r="A45" s="83"/>
      <c r="B45" s="90"/>
      <c r="C45" s="111"/>
      <c r="D45" s="103"/>
      <c r="E45" s="102"/>
      <c r="F45" s="102"/>
      <c r="G45" s="89"/>
      <c r="H45" s="102"/>
      <c r="I45" s="102"/>
      <c r="J45" s="89"/>
    </row>
    <row r="46" spans="1:10" ht="12" customHeight="1">
      <c r="A46" s="83"/>
      <c r="B46" s="100" t="s">
        <v>230</v>
      </c>
      <c r="C46" s="101"/>
      <c r="D46" s="103"/>
      <c r="E46" s="512">
        <f>+E47+E48+E49</f>
        <v>0</v>
      </c>
      <c r="F46" s="512">
        <f>+F47+F48+F49</f>
        <v>0</v>
      </c>
      <c r="G46" s="512">
        <f>+G47+G48+G49</f>
        <v>0</v>
      </c>
      <c r="H46" s="512">
        <f>+H47+H48+H49</f>
        <v>0</v>
      </c>
      <c r="I46" s="512">
        <f>+I47+I48+I49</f>
        <v>0</v>
      </c>
      <c r="J46" s="512">
        <f t="shared" si="4"/>
        <v>0</v>
      </c>
    </row>
    <row r="47" spans="1:10" ht="12" customHeight="1">
      <c r="A47" s="83"/>
      <c r="B47" s="100"/>
      <c r="C47" s="639" t="s">
        <v>200</v>
      </c>
      <c r="D47" s="640"/>
      <c r="E47" s="506">
        <v>0</v>
      </c>
      <c r="F47" s="506">
        <v>0</v>
      </c>
      <c r="G47" s="506">
        <f t="shared" si="3"/>
        <v>0</v>
      </c>
      <c r="H47" s="506">
        <v>0</v>
      </c>
      <c r="I47" s="506">
        <v>0</v>
      </c>
      <c r="J47" s="506">
        <f t="shared" si="4"/>
        <v>0</v>
      </c>
    </row>
    <row r="48" spans="1:10" ht="12" customHeight="1">
      <c r="A48" s="83"/>
      <c r="B48" s="90"/>
      <c r="C48" s="639" t="s">
        <v>224</v>
      </c>
      <c r="D48" s="640"/>
      <c r="E48" s="506">
        <v>0</v>
      </c>
      <c r="F48" s="506">
        <v>0</v>
      </c>
      <c r="G48" s="506">
        <f t="shared" si="3"/>
        <v>0</v>
      </c>
      <c r="H48" s="506">
        <v>0</v>
      </c>
      <c r="I48" s="506">
        <v>0</v>
      </c>
      <c r="J48" s="506">
        <f t="shared" si="4"/>
        <v>0</v>
      </c>
    </row>
    <row r="49" spans="1:11" ht="12" customHeight="1">
      <c r="A49" s="83"/>
      <c r="B49" s="90"/>
      <c r="C49" s="639" t="s">
        <v>225</v>
      </c>
      <c r="D49" s="640"/>
      <c r="E49" s="506">
        <v>0</v>
      </c>
      <c r="F49" s="506">
        <v>0</v>
      </c>
      <c r="G49" s="506">
        <f t="shared" si="3"/>
        <v>0</v>
      </c>
      <c r="H49" s="506">
        <v>0</v>
      </c>
      <c r="I49" s="506">
        <v>0</v>
      </c>
      <c r="J49" s="506">
        <f t="shared" si="4"/>
        <v>0</v>
      </c>
    </row>
    <row r="50" spans="1:11" s="106" customFormat="1" ht="12" customHeight="1">
      <c r="A50" s="80"/>
      <c r="B50" s="104"/>
      <c r="C50" s="112"/>
      <c r="D50" s="113"/>
      <c r="E50" s="513"/>
      <c r="F50" s="513"/>
      <c r="G50" s="513"/>
      <c r="H50" s="513"/>
      <c r="I50" s="513"/>
      <c r="J50" s="513"/>
      <c r="K50" s="105"/>
    </row>
    <row r="51" spans="1:11" ht="12" customHeight="1">
      <c r="A51" s="83"/>
      <c r="B51" s="100" t="s">
        <v>231</v>
      </c>
      <c r="C51" s="107"/>
      <c r="D51" s="103"/>
      <c r="E51" s="512">
        <f>+E52</f>
        <v>0</v>
      </c>
      <c r="F51" s="512">
        <f>+F52</f>
        <v>0</v>
      </c>
      <c r="G51" s="512">
        <f>+G52</f>
        <v>0</v>
      </c>
      <c r="H51" s="512">
        <f>+H52</f>
        <v>0</v>
      </c>
      <c r="I51" s="512">
        <f>+I52</f>
        <v>0</v>
      </c>
      <c r="J51" s="512">
        <f t="shared" si="4"/>
        <v>0</v>
      </c>
    </row>
    <row r="52" spans="1:11" ht="12" customHeight="1">
      <c r="A52" s="83"/>
      <c r="B52" s="90"/>
      <c r="C52" s="639" t="s">
        <v>226</v>
      </c>
      <c r="D52" s="640"/>
      <c r="E52" s="506">
        <v>0</v>
      </c>
      <c r="F52" s="506">
        <v>0</v>
      </c>
      <c r="G52" s="506">
        <f t="shared" ref="G52" si="5">+E52+F52</f>
        <v>0</v>
      </c>
      <c r="H52" s="506">
        <v>0</v>
      </c>
      <c r="I52" s="506">
        <v>0</v>
      </c>
      <c r="J52" s="506">
        <f t="shared" si="4"/>
        <v>0</v>
      </c>
    </row>
    <row r="53" spans="1:11" ht="12" customHeight="1">
      <c r="A53" s="83"/>
      <c r="B53" s="92"/>
      <c r="C53" s="93"/>
      <c r="D53" s="94"/>
      <c r="E53" s="95"/>
      <c r="F53" s="95"/>
      <c r="G53" s="95"/>
      <c r="H53" s="95"/>
      <c r="I53" s="95"/>
      <c r="J53" s="95"/>
    </row>
    <row r="54" spans="1:11" ht="12" customHeight="1">
      <c r="A54" s="80"/>
      <c r="B54" s="96"/>
      <c r="C54" s="97"/>
      <c r="D54" s="108" t="s">
        <v>227</v>
      </c>
      <c r="E54" s="508">
        <f>+E34+E35+E36+E37+E40+E43+E44+E46+E51</f>
        <v>2516000</v>
      </c>
      <c r="F54" s="508">
        <f t="shared" ref="F54:I54" si="6">+F34+F35+F36+F37+F40+F43+F44+F46+F51</f>
        <v>0</v>
      </c>
      <c r="G54" s="508">
        <f t="shared" si="6"/>
        <v>2516000</v>
      </c>
      <c r="H54" s="508">
        <f t="shared" si="6"/>
        <v>438032</v>
      </c>
      <c r="I54" s="508">
        <f t="shared" si="6"/>
        <v>438032</v>
      </c>
      <c r="J54" s="646">
        <f>+J33+J46+J51</f>
        <v>-2077968</v>
      </c>
    </row>
    <row r="55" spans="1:11">
      <c r="A55" s="83"/>
      <c r="B55" s="99"/>
      <c r="C55" s="99"/>
      <c r="D55" s="99"/>
      <c r="E55" s="99"/>
      <c r="F55" s="99"/>
      <c r="G55" s="99"/>
      <c r="H55" s="648" t="s">
        <v>407</v>
      </c>
      <c r="I55" s="649"/>
      <c r="J55" s="647"/>
    </row>
    <row r="56" spans="1:11">
      <c r="A56" s="83"/>
      <c r="B56" s="645"/>
      <c r="C56" s="645"/>
      <c r="D56" s="645"/>
      <c r="E56" s="645"/>
      <c r="F56" s="645"/>
      <c r="G56" s="645"/>
      <c r="H56" s="645"/>
      <c r="I56" s="645"/>
      <c r="J56" s="645"/>
    </row>
    <row r="57" spans="1:11">
      <c r="B57" s="78" t="s">
        <v>232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EAA</vt:lpstr>
      <vt:lpstr>EADP</vt:lpstr>
      <vt:lpstr>EVHP</vt:lpstr>
      <vt:lpstr>EFE</vt:lpstr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  <vt:lpstr>CProg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FLOR</cp:lastModifiedBy>
  <cp:lastPrinted>2016-04-07T14:33:04Z</cp:lastPrinted>
  <dcterms:created xsi:type="dcterms:W3CDTF">2014-01-27T16:27:43Z</dcterms:created>
  <dcterms:modified xsi:type="dcterms:W3CDTF">2016-04-07T15:40:32Z</dcterms:modified>
</cp:coreProperties>
</file>