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IDET\"/>
    </mc:Choice>
  </mc:AlternateContent>
  <xr:revisionPtr revIDLastSave="0" documentId="13_ncr:1_{4D5053BB-BC53-4F9F-BE5F-22E4261D9E9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 l="1"/>
  <c r="G28" i="6" s="1"/>
  <c r="F18" i="6"/>
  <c r="G18" i="6" s="1"/>
  <c r="F26" i="6"/>
  <c r="G26" i="6" s="1"/>
  <c r="F24" i="6"/>
  <c r="G24" i="6" s="1"/>
  <c r="F23" i="6"/>
  <c r="G23" i="6" s="1"/>
  <c r="F22" i="6"/>
  <c r="G22" i="6" s="1"/>
  <c r="F21" i="6"/>
  <c r="G21" i="6" s="1"/>
  <c r="F19" i="6"/>
  <c r="G19" i="6" s="1"/>
  <c r="G112" i="6"/>
  <c r="G41" i="6"/>
  <c r="F36" i="6"/>
  <c r="G36" i="6" s="1"/>
  <c r="F35" i="6"/>
  <c r="G35" i="6" s="1"/>
  <c r="F34" i="6"/>
  <c r="G34" i="6" s="1"/>
  <c r="F33" i="6"/>
  <c r="F32" i="6"/>
  <c r="G32" i="6" s="1"/>
  <c r="F31" i="6"/>
  <c r="G31" i="6" s="1"/>
  <c r="F30" i="6"/>
  <c r="G30" i="6" s="1"/>
  <c r="F29" i="6"/>
  <c r="G29" i="6" s="1"/>
  <c r="F25" i="6"/>
  <c r="G25" i="6" s="1"/>
  <c r="F20" i="6"/>
  <c r="G20" i="6" s="1"/>
  <c r="D35" i="6"/>
  <c r="D22" i="6"/>
  <c r="D28" i="6"/>
  <c r="D41" i="6"/>
  <c r="D36" i="6"/>
  <c r="D34" i="6"/>
  <c r="D33" i="6"/>
  <c r="D30" i="6"/>
  <c r="D29" i="6"/>
  <c r="D32" i="6"/>
  <c r="D31" i="6"/>
  <c r="D24" i="6"/>
  <c r="D23" i="6"/>
  <c r="D21" i="6"/>
  <c r="D19" i="6"/>
  <c r="D18" i="6"/>
  <c r="D26" i="6"/>
  <c r="D25" i="6"/>
  <c r="D20" i="6"/>
  <c r="C10" i="7"/>
  <c r="F21" i="7"/>
  <c r="E21" i="7"/>
  <c r="E10" i="7"/>
  <c r="F10" i="7"/>
  <c r="I36" i="5"/>
  <c r="H36" i="5"/>
  <c r="F36" i="5"/>
  <c r="I14" i="5"/>
  <c r="H14" i="5"/>
  <c r="G15" i="4"/>
  <c r="G16" i="4"/>
  <c r="G10" i="4"/>
  <c r="G9" i="4" s="1"/>
  <c r="E17" i="2"/>
  <c r="D17" i="2"/>
  <c r="G37" i="6"/>
  <c r="F9" i="6"/>
  <c r="G101" i="6"/>
  <c r="F104" i="6"/>
  <c r="G61" i="5"/>
  <c r="G16" i="6"/>
  <c r="G15" i="6"/>
  <c r="G14" i="6"/>
  <c r="G13" i="6"/>
  <c r="G12" i="6"/>
  <c r="G11" i="6"/>
  <c r="G10" i="6"/>
  <c r="F9" i="9" l="1"/>
  <c r="F8" i="9" s="1"/>
  <c r="G11" i="4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J36" i="5"/>
  <c r="J14" i="5"/>
  <c r="G13" i="5"/>
  <c r="H13" i="5" s="1"/>
  <c r="J58" i="5"/>
  <c r="F94" i="6"/>
  <c r="E53" i="6"/>
  <c r="G31" i="1"/>
  <c r="E11" i="6"/>
  <c r="D9" i="6"/>
  <c r="B10" i="7"/>
  <c r="H61" i="5"/>
  <c r="F30" i="5"/>
  <c r="I13" i="5" l="1"/>
  <c r="D9" i="1"/>
  <c r="G17" i="5"/>
  <c r="H17" i="5" s="1"/>
  <c r="I17" i="5" s="1"/>
  <c r="G14" i="5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E48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J19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C9" i="1" l="1"/>
  <c r="D17" i="1" l="1"/>
  <c r="I61" i="5" l="1"/>
  <c r="J61" i="5" s="1"/>
  <c r="G68" i="4"/>
  <c r="I57" i="5" l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l="1"/>
  <c r="D160" i="6" s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C8" i="6" l="1"/>
  <c r="J62" i="5"/>
  <c r="H68" i="5"/>
  <c r="G57" i="4"/>
  <c r="B8" i="9"/>
  <c r="B31" i="9" s="1"/>
  <c r="E8" i="6"/>
  <c r="J70" i="5"/>
  <c r="D9" i="9"/>
  <c r="G9" i="9" s="1"/>
  <c r="C8" i="9"/>
  <c r="E8" i="9"/>
  <c r="F8" i="6"/>
  <c r="G68" i="5"/>
  <c r="C160" i="6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31" i="5" l="1"/>
  <c r="J31" i="5" s="1"/>
  <c r="J30" i="5" s="1"/>
  <c r="G30" i="5"/>
  <c r="G43" i="5" s="1"/>
  <c r="G73" i="5" s="1"/>
  <c r="H35" i="5"/>
  <c r="J35" i="5" s="1"/>
  <c r="F43" i="5"/>
  <c r="F73" i="5" s="1"/>
  <c r="H16" i="5"/>
  <c r="J17" i="5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I34" i="5" l="1"/>
  <c r="I35" i="5"/>
  <c r="I30" i="5"/>
  <c r="I16" i="5"/>
  <c r="J16" i="5"/>
  <c r="H30" i="5"/>
  <c r="H43" i="5" s="1"/>
  <c r="H73" i="5" s="1"/>
  <c r="H37" i="5"/>
  <c r="I39" i="5"/>
  <c r="J39" i="5" s="1"/>
  <c r="E22" i="4"/>
  <c r="E23" i="4" l="1"/>
  <c r="E24" i="4" s="1"/>
  <c r="E33" i="4" s="1"/>
  <c r="I37" i="5"/>
  <c r="I43" i="5" s="1"/>
  <c r="I7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J43" i="5" s="1"/>
  <c r="J73" i="5" s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<sst xmlns="http://schemas.openxmlformats.org/spreadsheetml/2006/main" count="663" uniqueCount="458">
  <si>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</si>
  <si>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</si>
  <si>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</si>
  <si>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</si>
  <si>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</si>
  <si>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</si>
  <si>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</si>
  <si>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</si>
  <si>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</si>
  <si>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</si>
  <si>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</si>
  <si>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</si>
  <si>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</si>
  <si>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</si>
  <si>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</si>
  <si>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</si>
  <si>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</si>
  <si>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</si>
  <si>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</si>
  <si>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</si>
  <si>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</si>
  <si>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</si>
  <si>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</si>
  <si>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</si>
  <si>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</si>
  <si>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</si>
  <si>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</si>
  <si>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</si>
  <si>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</si>
  <si>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</si>
  <si>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</si>
  <si>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</si>
  <si>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</si>
  <si>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</si>
  <si>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</si>
  <si>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</si>
  <si>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</si>
  <si>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</si>
  <si>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</si>
  <si>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</si>
  <si>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</si>
  <si>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</si>
  <si>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</si>
  <si>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</si>
  <si>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</si>
  <si>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</si>
  <si>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</si>
  <si>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</si>
  <si>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</si>
  <si>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</si>
  <si>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</si>
  <si>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</si>
  <si>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</si>
  <si>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</si>
  <si>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</si>
  <si>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</si>
  <si>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</si>
  <si>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</si>
  <si>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</si>
  <si>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</si>
  <si>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</si>
  <si>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</si>
  <si>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</si>
  <si>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</si>
  <si>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</si>
  <si>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</si>
  <si>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</si>
  <si>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</si>
  <si>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</si>
  <si>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</si>
  <si>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</si>
  <si>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</si>
  <si>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</si>
  <si>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</si>
  <si>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</si>
  <si>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</si>
  <si>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</si>
  <si>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</si>
  <si>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</si>
  <si>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</si>
  <si>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</si>
  <si>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</si>
  <si>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</si>
  <si>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</si>
  <si>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</si>
  <si>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</si>
  <si>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</si>
  <si>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</si>
  <si>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</si>
  <si>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</si>
  <si>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</si>
  <si>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</si>
  <si>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</si>
  <si>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</si>
  <si>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</si>
  <si>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</si>
  <si>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</si>
  <si>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</si>
  <si>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</si>
  <si>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</si>
  <si>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</si>
  <si>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</si>
  <si>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</si>
  <si>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</si>
  <si>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</si>
  <si>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</si>
  <si>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</si>
  <si>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</si>
  <si>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</si>
  <si>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</si>
  <si>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</si>
  <si>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</si>
  <si>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</si>
  <si>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</si>
  <si>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</si>
  <si>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</si>
  <si>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</si>
  <si>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</si>
  <si>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</si>
  <si>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</si>
  <si>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</si>
  <si>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</si>
  <si>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</si>
  <si>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</si>
  <si>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</si>
  <si>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</si>
  <si>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</si>
  <si>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</si>
  <si>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</si>
  <si>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</si>
  <si>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</si>
  <si>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</si>
  <si>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</si>
  <si>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</si>
  <si>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</si>
  <si>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</si>
  <si>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</si>
  <si>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</si>
  <si>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</si>
  <si>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</si>
  <si>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</si>
  <si>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</si>
  <si>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</si>
  <si>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</si>
  <si>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</si>
  <si>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</si>
  <si>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</si>
  <si>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</si>
  <si>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</si>
  <si>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</si>
  <si>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</si>
  <si>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</si>
  <si>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</si>
  <si>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</si>
  <si>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</si>
  <si>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</si>
  <si>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</si>
  <si>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</si>
  <si>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</si>
  <si>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</si>
  <si>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</si>
  <si>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</si>
  <si>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</si>
  <si>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</si>
  <si>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</si>
  <si>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</si>
  <si>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</si>
  <si>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</si>
  <si>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</si>
  <si>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</si>
  <si>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</si>
  <si>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</si>
  <si>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</si>
  <si>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</si>
  <si>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</si>
  <si>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</si>
  <si>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</si>
  <si>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</si>
  <si>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</si>
  <si>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</si>
  <si>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</si>
  <si>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</si>
  <si>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</si>
  <si>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</si>
  <si>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</si>
  <si>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</si>
  <si>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</si>
  <si>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</si>
  <si>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</si>
  <si>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</si>
  <si>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</si>
  <si>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</si>
  <si>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</si>
  <si>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</si>
  <si>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</si>
  <si>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</si>
  <si>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</si>
  <si>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</si>
  <si>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</si>
  <si>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</si>
  <si>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</si>
  <si>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</si>
  <si>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</si>
  <si>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</si>
  <si>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</si>
  <si>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</si>
  <si>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</si>
  <si>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</si>
  <si>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</si>
  <si>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</si>
  <si>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</si>
  <si>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</si>
  <si>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</si>
  <si>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</si>
  <si>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</si>
  <si>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</si>
  <si>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</si>
  <si>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</si>
  <si>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</si>
  <si>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</si>
  <si>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</si>
  <si>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</si>
  <si>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</si>
  <si>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</si>
  <si>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</si>
  <si>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</si>
  <si>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</si>
  <si>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</si>
  <si>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</si>
  <si>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</si>
  <si>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</si>
  <si>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</si>
  <si>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</si>
  <si>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</si>
  <si>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</si>
  <si>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</si>
  <si>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</si>
  <si>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</si>
  <si>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</si>
  <si>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</si>
  <si>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</si>
  <si>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</si>
  <si>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</si>
  <si>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</si>
  <si>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</si>
  <si>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</si>
  <si>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</si>
  <si>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</si>
  <si>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</si>
  <si>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</si>
  <si>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</si>
  <si>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</si>
  <si>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</si>
  <si>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</si>
  <si>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</si>
  <si>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</si>
  <si>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</si>
  <si>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</si>
  <si>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</si>
  <si>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</si>
  <si>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</si>
  <si>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</si>
  <si>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</si>
  <si>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</si>
  <si>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</si>
  <si>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</si>
  <si>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</si>
  <si>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</si>
  <si>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</si>
  <si>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</si>
  <si>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</si>
  <si>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</si>
  <si>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</si>
  <si>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</si>
  <si>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</si>
  <si>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</si>
  <si>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</si>
  <si>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</si>
  <si>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</si>
  <si>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</si>
  <si>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</si>
  <si>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</si>
  <si>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</si>
  <si>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</si>
  <si>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</si>
  <si>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</si>
  <si>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</si>
  <si>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</si>
  <si>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</si>
  <si>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</si>
  <si>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</si>
  <si>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</si>
  <si>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</si>
  <si>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</si>
  <si>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</si>
  <si>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</si>
  <si>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</si>
  <si>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</si>
  <si>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</si>
  <si>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</si>
  <si>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</si>
  <si>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</si>
  <si>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</si>
  <si>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</si>
  <si>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</si>
  <si>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</si>
  <si>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</si>
  <si>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</si>
  <si>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</si>
  <si>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</si>
  <si>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</si>
  <si>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</si>
  <si>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</si>
  <si>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</si>
  <si>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</si>
  <si>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</si>
  <si>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</si>
  <si>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</si>
  <si>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</si>
  <si>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</si>
  <si>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</si>
  <si>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</si>
  <si>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</si>
  <si>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</si>
  <si>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</si>
  <si>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</si>
  <si>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</si>
  <si>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</si>
  <si>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</si>
  <si>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</si>
  <si>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</si>
  <si>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</si>
  <si>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</si>
  <si>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</si>
  <si>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</si>
  <si>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</si>
  <si>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</si>
  <si>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</si>
  <si>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</si>
  <si>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</si>
  <si>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</si>
  <si>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</si>
  <si>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</si>
  <si>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</si>
  <si>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</si>
  <si>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</si>
  <si>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</si>
  <si>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</si>
  <si>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</si>
  <si>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</si>
  <si>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</si>
  <si>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</si>
  <si>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</si>
  <si>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</si>
  <si>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</si>
  <si>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</si>
  <si>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</si>
  <si>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</si>
  <si>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</si>
  <si>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</si>
  <si>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</si>
  <si>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</si>
  <si>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</si>
  <si>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</si>
  <si>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</si>
  <si>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</si>
  <si>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</si>
  <si>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</si>
  <si>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</si>
  <si>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</si>
  <si>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</si>
  <si>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</si>
  <si>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</si>
  <si>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</si>
  <si>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</si>
  <si>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</si>
  <si>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</si>
  <si>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</si>
  <si>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</si>
  <si>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</si>
  <si>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</si>
  <si>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</si>
  <si>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</si>
  <si>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</si>
  <si>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</si>
  <si>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</si>
  <si>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</si>
  <si>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</si>
  <si>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</si>
  <si>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</si>
  <si>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</si>
  <si>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</si>
  <si>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</si>
  <si>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</si>
  <si>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</si>
  <si>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</si>
  <si>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</si>
  <si>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</si>
  <si>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</si>
  <si>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</si>
  <si>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</si>
  <si>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</si>
  <si>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</si>
  <si>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</si>
  <si>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</si>
  <si>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</si>
  <si>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</si>
  <si>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</si>
  <si>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</si>
  <si>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</si>
  <si>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</si>
  <si>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</si>
  <si>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</si>
  <si>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</si>
  <si>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</si>
  <si>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</si>
  <si>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</si>
  <si>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</si>
  <si>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</si>
  <si>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</si>
  <si>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</si>
  <si>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</si>
  <si>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</si>
  <si>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</si>
  <si>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</si>
  <si>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</si>
  <si>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</si>
  <si>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</si>
  <si>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</si>
  <si>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</si>
  <si>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</si>
  <si>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</si>
  <si>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</si>
  <si>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</si>
  <si>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</si>
  <si>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</si>
  <si>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</si>
  <si>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</si>
  <si>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</si>
  <si>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</si>
  <si>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</si>
  <si>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</si>
  <si>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</si>
  <si>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</si>
  <si>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</si>
  <si>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</si>
  <si>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</si>
  <si>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</si>
  <si>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31 de diciembre de 2022</t>
  </si>
  <si>
    <t>al 31 de diciembre de 2022 (d)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</si>
  <si>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</si>
  <si>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</si>
  <si>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</si>
  <si>
    <t>Del 01 de enero al 31 de diciembre de 2022 y del 01 de enero al 31 de diciembre de 2023</t>
  </si>
  <si>
    <t>31 de diciembre de 2023</t>
  </si>
  <si>
    <t>Del 1 de enero al 31 de diciembre de 2023</t>
  </si>
  <si>
    <t>Dr. Daniel Moncayo Cervantes</t>
  </si>
  <si>
    <t>Encargado del Despacho del Instituto del Deporte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</si>
</sst>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6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6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D84" sqref="D84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38" t="s">
        <v>120</v>
      </c>
      <c r="B1" s="139"/>
      <c r="C1" s="139"/>
      <c r="D1" s="139"/>
      <c r="E1" s="139"/>
      <c r="F1" s="139"/>
      <c r="G1" s="139"/>
      <c r="H1" s="140"/>
    </row>
    <row r="2" spans="1:8" x14ac:dyDescent="0.25">
      <c r="A2" s="141" t="s">
        <v>0</v>
      </c>
      <c r="B2" s="142"/>
      <c r="C2" s="142"/>
      <c r="D2" s="142"/>
      <c r="E2" s="142"/>
      <c r="F2" s="142"/>
      <c r="G2" s="142"/>
      <c r="H2" s="143"/>
    </row>
    <row r="3" spans="1:8" x14ac:dyDescent="0.25">
      <c r="A3" s="141" t="s">
        <v>453</v>
      </c>
      <c r="B3" s="142"/>
      <c r="C3" s="142"/>
      <c r="D3" s="142"/>
      <c r="E3" s="142"/>
      <c r="F3" s="142"/>
      <c r="G3" s="142"/>
      <c r="H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6"/>
    </row>
    <row r="5" spans="1:8" ht="17.25" thickBot="1" x14ac:dyDescent="0.3">
      <c r="A5" s="114"/>
      <c r="B5" s="111" t="s">
        <v>2</v>
      </c>
      <c r="C5" s="1" t="s">
        <v>454</v>
      </c>
      <c r="D5" s="1" t="s">
        <v>448</v>
      </c>
      <c r="E5" s="2"/>
      <c r="F5" s="3" t="s">
        <v>2</v>
      </c>
      <c r="G5" s="1" t="s">
        <v>454</v>
      </c>
      <c r="H5" s="1" t="s">
        <v>448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946068</v>
      </c>
      <c r="D9" s="14">
        <f>SUM(D10:D16)</f>
        <v>1619297</v>
      </c>
      <c r="E9" s="5"/>
      <c r="F9" s="6" t="s">
        <v>8</v>
      </c>
      <c r="G9" s="14">
        <f>SUM(G10:G18)</f>
        <v>0</v>
      </c>
      <c r="H9" s="14">
        <f>SUM(H10:H18)</f>
        <v>1506613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946068</v>
      </c>
      <c r="D11" s="14">
        <v>1619297</v>
      </c>
      <c r="E11" s="5"/>
      <c r="F11" s="6" t="s">
        <v>12</v>
      </c>
      <c r="G11" s="14">
        <v>0</v>
      </c>
      <c r="H11" s="14">
        <v>1506613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v>0</v>
      </c>
      <c r="D17" s="14">
        <f>SUM(D18:D24)</f>
        <v>41057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0</v>
      </c>
      <c r="D20" s="14">
        <v>41057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586546</v>
      </c>
      <c r="H31" s="14">
        <f>SUM(H32:H37)</f>
        <v>74233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586546</v>
      </c>
      <c r="H33" s="14">
        <v>74233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946068</v>
      </c>
      <c r="D47" s="15">
        <f>D9+D17+D25+D31+D37+D38+D41</f>
        <v>1660354</v>
      </c>
      <c r="E47" s="8"/>
      <c r="F47" s="136" t="s">
        <v>82</v>
      </c>
      <c r="G47" s="15">
        <f>G9+G19+G23+G26+G27+G31+G38+G42</f>
        <v>586546</v>
      </c>
      <c r="H47" s="15">
        <f>H9+H19+H23+H26+H27+H31+H38+H42</f>
        <v>1580846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9974364</v>
      </c>
      <c r="D52" s="14">
        <v>10140465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586546</v>
      </c>
      <c r="H58" s="14">
        <f>H47+H56</f>
        <v>1580846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14536671</v>
      </c>
      <c r="D59" s="14">
        <f>D49+D50+D51+D52+D53+D54+D55+D56+D57</f>
        <v>14702772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15482739</v>
      </c>
      <c r="D61" s="14">
        <f>D47+D59</f>
        <v>16363126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14896193</v>
      </c>
      <c r="H67" s="14">
        <f>H68+H69+H70+H71+H72</f>
        <v>14782280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332322</v>
      </c>
      <c r="H68" s="14">
        <v>12096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645933</v>
      </c>
      <c r="H69" s="14">
        <v>686145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13917938</v>
      </c>
      <c r="H72" s="14">
        <v>14084039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14896193</v>
      </c>
      <c r="H78" s="14">
        <f>H62+H67+H74</f>
        <v>14782280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15482739</v>
      </c>
      <c r="H80" s="14">
        <f>H58+H78</f>
        <v>16363126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8"/>
      <c r="C84" s="148"/>
      <c r="F84" s="148"/>
      <c r="G84" s="148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7"/>
      <c r="C86" s="147"/>
      <c r="D86" s="104"/>
      <c r="E86" s="104"/>
      <c r="F86" s="147"/>
      <c r="G86" s="147"/>
    </row>
    <row r="87" spans="1:8" x14ac:dyDescent="0.25">
      <c r="B87" s="147"/>
      <c r="C87" s="147"/>
      <c r="D87" s="104"/>
      <c r="E87" s="104"/>
      <c r="F87" s="147"/>
      <c r="G87" s="147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C41" sqref="C41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53" t="s">
        <v>120</v>
      </c>
      <c r="B1" s="154"/>
      <c r="C1" s="154"/>
      <c r="D1" s="154"/>
      <c r="E1" s="154"/>
      <c r="F1" s="154"/>
      <c r="G1" s="154"/>
      <c r="H1" s="154"/>
      <c r="I1" s="155"/>
    </row>
    <row r="2" spans="1:9" ht="15.75" thickBot="1" x14ac:dyDescent="0.3">
      <c r="A2" s="156" t="s">
        <v>121</v>
      </c>
      <c r="B2" s="157"/>
      <c r="C2" s="157"/>
      <c r="D2" s="157"/>
      <c r="E2" s="157"/>
      <c r="F2" s="157"/>
      <c r="G2" s="157"/>
      <c r="H2" s="157"/>
      <c r="I2" s="158"/>
    </row>
    <row r="3" spans="1:9" ht="15.75" thickBot="1" x14ac:dyDescent="0.3">
      <c r="A3" s="156" t="s">
        <v>455</v>
      </c>
      <c r="B3" s="157"/>
      <c r="C3" s="157"/>
      <c r="D3" s="157"/>
      <c r="E3" s="157"/>
      <c r="F3" s="157"/>
      <c r="G3" s="157"/>
      <c r="H3" s="157"/>
      <c r="I3" s="158"/>
    </row>
    <row r="4" spans="1:9" ht="15.75" thickBot="1" x14ac:dyDescent="0.3">
      <c r="A4" s="156" t="s">
        <v>1</v>
      </c>
      <c r="B4" s="157"/>
      <c r="C4" s="157"/>
      <c r="D4" s="157"/>
      <c r="E4" s="157"/>
      <c r="F4" s="157"/>
      <c r="G4" s="157"/>
      <c r="H4" s="157"/>
      <c r="I4" s="158"/>
    </row>
    <row r="5" spans="1:9" ht="24" customHeight="1" x14ac:dyDescent="0.25">
      <c r="A5" s="159" t="s">
        <v>157</v>
      </c>
      <c r="B5" s="160"/>
      <c r="C5" s="17" t="s">
        <v>122</v>
      </c>
      <c r="D5" s="163" t="s">
        <v>429</v>
      </c>
      <c r="E5" s="163" t="s">
        <v>430</v>
      </c>
      <c r="F5" s="163" t="s">
        <v>431</v>
      </c>
      <c r="G5" s="17" t="s">
        <v>123</v>
      </c>
      <c r="H5" s="163" t="s">
        <v>432</v>
      </c>
      <c r="I5" s="163" t="s">
        <v>433</v>
      </c>
    </row>
    <row r="6" spans="1:9" ht="25.5" thickBot="1" x14ac:dyDescent="0.3">
      <c r="A6" s="161"/>
      <c r="B6" s="162"/>
      <c r="C6" s="18" t="s">
        <v>449</v>
      </c>
      <c r="D6" s="164"/>
      <c r="E6" s="164"/>
      <c r="F6" s="164"/>
      <c r="G6" s="18" t="s">
        <v>124</v>
      </c>
      <c r="H6" s="164"/>
      <c r="I6" s="164"/>
    </row>
    <row r="7" spans="1:9" x14ac:dyDescent="0.25">
      <c r="A7" s="151"/>
      <c r="B7" s="152"/>
      <c r="C7" s="4"/>
      <c r="D7" s="4"/>
      <c r="E7" s="4"/>
      <c r="F7" s="4"/>
      <c r="G7" s="4"/>
      <c r="H7" s="4"/>
      <c r="I7" s="4"/>
    </row>
    <row r="8" spans="1:9" x14ac:dyDescent="0.25">
      <c r="A8" s="149" t="s">
        <v>125</v>
      </c>
      <c r="B8" s="150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49" t="s">
        <v>126</v>
      </c>
      <c r="B9" s="150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49" t="s">
        <v>130</v>
      </c>
      <c r="B13" s="150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49" t="s">
        <v>134</v>
      </c>
      <c r="B17" s="150"/>
      <c r="C17" s="14">
        <v>1580846</v>
      </c>
      <c r="D17" s="14">
        <f>4250079+7923650+36374337+76316855</f>
        <v>124864921</v>
      </c>
      <c r="E17" s="14">
        <f>4467552+7670416+39769236+71963417</f>
        <v>123870621</v>
      </c>
      <c r="F17" s="14">
        <v>0</v>
      </c>
      <c r="G17" s="14">
        <f>C17+E17-D17</f>
        <v>586546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49" t="s">
        <v>135</v>
      </c>
      <c r="B19" s="150"/>
      <c r="C19" s="13">
        <f>C8+C17</f>
        <v>1580846</v>
      </c>
      <c r="D19" s="13">
        <f t="shared" ref="D19:I19" si="3">D8+D17</f>
        <v>124864921</v>
      </c>
      <c r="E19" s="13">
        <f t="shared" si="3"/>
        <v>123870621</v>
      </c>
      <c r="F19" s="13">
        <f t="shared" si="3"/>
        <v>0</v>
      </c>
      <c r="G19" s="13">
        <f>G8+G17</f>
        <v>586546</v>
      </c>
      <c r="H19" s="13">
        <f t="shared" si="3"/>
        <v>0</v>
      </c>
      <c r="I19" s="13">
        <f t="shared" si="3"/>
        <v>0</v>
      </c>
    </row>
    <row r="20" spans="1:9" x14ac:dyDescent="0.25">
      <c r="A20" s="149"/>
      <c r="B20" s="150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49" t="s">
        <v>136</v>
      </c>
      <c r="B21" s="150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5" t="s">
        <v>137</v>
      </c>
      <c r="B22" s="166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5" t="s">
        <v>138</v>
      </c>
      <c r="B23" s="166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5" t="s">
        <v>139</v>
      </c>
      <c r="B24" s="166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2"/>
      <c r="B25" s="173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49" t="s">
        <v>140</v>
      </c>
      <c r="B26" s="150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5" t="s">
        <v>141</v>
      </c>
      <c r="B27" s="166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5" t="s">
        <v>142</v>
      </c>
      <c r="B28" s="166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5" t="s">
        <v>143</v>
      </c>
      <c r="B29" s="166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0"/>
      <c r="B30" s="171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8" t="s">
        <v>144</v>
      </c>
      <c r="C31" s="168"/>
      <c r="D31" s="168"/>
      <c r="E31" s="168"/>
      <c r="F31" s="168"/>
      <c r="G31" s="168"/>
      <c r="H31" s="168"/>
      <c r="I31" s="168"/>
    </row>
    <row r="32" spans="1:9" ht="15.75" thickBot="1" x14ac:dyDescent="0.3">
      <c r="A32" s="23">
        <v>2</v>
      </c>
      <c r="B32" s="169" t="s">
        <v>145</v>
      </c>
      <c r="C32" s="169"/>
      <c r="D32" s="169"/>
      <c r="E32" s="169"/>
      <c r="F32" s="169"/>
      <c r="G32" s="169"/>
      <c r="H32" s="169"/>
      <c r="I32" s="169"/>
    </row>
    <row r="33" spans="1:6" x14ac:dyDescent="0.25">
      <c r="A33" s="163" t="s">
        <v>146</v>
      </c>
      <c r="B33" s="24" t="s">
        <v>147</v>
      </c>
      <c r="C33" s="24" t="s">
        <v>149</v>
      </c>
      <c r="D33" s="24" t="s">
        <v>151</v>
      </c>
      <c r="E33" s="163" t="s">
        <v>158</v>
      </c>
      <c r="F33" s="24" t="s">
        <v>152</v>
      </c>
    </row>
    <row r="34" spans="1:6" x14ac:dyDescent="0.25">
      <c r="A34" s="167"/>
      <c r="B34" s="17" t="s">
        <v>148</v>
      </c>
      <c r="C34" s="17" t="s">
        <v>150</v>
      </c>
      <c r="D34" s="17"/>
      <c r="E34" s="167"/>
      <c r="F34" s="17"/>
    </row>
    <row r="35" spans="1:6" ht="15.75" thickBot="1" x14ac:dyDescent="0.3">
      <c r="A35" s="164"/>
      <c r="B35" s="25"/>
      <c r="C35" s="18"/>
      <c r="D35" s="25"/>
      <c r="E35" s="164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B26" sqref="B26:D2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15.75" thickBot="1" x14ac:dyDescent="0.3">
      <c r="A2" s="179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15.75" thickBot="1" x14ac:dyDescent="0.3">
      <c r="A3" s="179" t="s">
        <v>455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1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450</v>
      </c>
      <c r="J5" s="30" t="s">
        <v>451</v>
      </c>
      <c r="K5" s="30" t="s">
        <v>452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5" t="s">
        <v>456</v>
      </c>
      <c r="C26" s="175"/>
      <c r="D26" s="175"/>
      <c r="E26" s="121"/>
      <c r="F26" s="121"/>
      <c r="G26" s="121"/>
      <c r="H26" s="175" t="s">
        <v>445</v>
      </c>
      <c r="I26" s="175"/>
      <c r="J26" s="175"/>
    </row>
    <row r="27" spans="1:11" x14ac:dyDescent="0.25">
      <c r="B27" s="120" t="s">
        <v>457</v>
      </c>
      <c r="C27" s="120"/>
      <c r="D27" s="120"/>
      <c r="E27" s="121"/>
      <c r="F27" s="121"/>
      <c r="G27" s="121"/>
      <c r="H27" s="174" t="s">
        <v>446</v>
      </c>
      <c r="I27" s="174"/>
      <c r="J27" s="174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D81" sqref="D81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38" t="s">
        <v>120</v>
      </c>
      <c r="D1" s="139"/>
      <c r="E1" s="139"/>
      <c r="F1" s="139"/>
      <c r="G1" s="140"/>
    </row>
    <row r="2" spans="3:9" ht="12" customHeight="1" x14ac:dyDescent="0.25">
      <c r="C2" s="200" t="s">
        <v>179</v>
      </c>
      <c r="D2" s="201"/>
      <c r="E2" s="201"/>
      <c r="F2" s="201"/>
      <c r="G2" s="202"/>
    </row>
    <row r="3" spans="3:9" ht="12" customHeight="1" x14ac:dyDescent="0.25">
      <c r="C3" s="200" t="s">
        <v>455</v>
      </c>
      <c r="D3" s="201"/>
      <c r="E3" s="201"/>
      <c r="F3" s="201"/>
      <c r="G3" s="202"/>
    </row>
    <row r="4" spans="3:9" ht="12" customHeight="1" thickBot="1" x14ac:dyDescent="0.3">
      <c r="C4" s="203" t="s">
        <v>1</v>
      </c>
      <c r="D4" s="204"/>
      <c r="E4" s="204"/>
      <c r="F4" s="204"/>
      <c r="G4" s="205"/>
    </row>
    <row r="5" spans="3:9" ht="12" customHeight="1" thickBot="1" x14ac:dyDescent="0.3"/>
    <row r="6" spans="3:9" ht="12" customHeight="1" x14ac:dyDescent="0.25">
      <c r="C6" s="188" t="s">
        <v>198</v>
      </c>
      <c r="D6" s="189"/>
      <c r="E6" s="40" t="s">
        <v>180</v>
      </c>
      <c r="F6" s="192" t="s">
        <v>182</v>
      </c>
      <c r="G6" s="40" t="s">
        <v>183</v>
      </c>
    </row>
    <row r="7" spans="3:9" ht="12" customHeight="1" thickBot="1" x14ac:dyDescent="0.3">
      <c r="C7" s="190"/>
      <c r="D7" s="191"/>
      <c r="E7" s="30" t="s">
        <v>181</v>
      </c>
      <c r="F7" s="193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52369118</v>
      </c>
      <c r="F9" s="56">
        <v>90971504</v>
      </c>
      <c r="G9" s="56">
        <f>G10+G11+G12</f>
        <v>143340622</v>
      </c>
      <c r="I9" s="59"/>
    </row>
    <row r="10" spans="3:9" ht="12" customHeight="1" x14ac:dyDescent="0.25">
      <c r="C10" s="41"/>
      <c r="D10" s="44" t="s">
        <v>186</v>
      </c>
      <c r="E10" s="56">
        <v>52369118</v>
      </c>
      <c r="F10" s="56">
        <v>9498235</v>
      </c>
      <c r="G10" s="56">
        <f>E10+F10</f>
        <v>61867353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81473269</v>
      </c>
      <c r="G11" s="56">
        <f>F11</f>
        <v>81473269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52369118</v>
      </c>
      <c r="F14" s="56">
        <f t="shared" ref="F14:G14" si="0">SUM(F15:F16)</f>
        <v>90971504</v>
      </c>
      <c r="G14" s="56">
        <f t="shared" si="0"/>
        <v>143008300</v>
      </c>
    </row>
    <row r="15" spans="3:9" ht="12" customHeight="1" x14ac:dyDescent="0.25">
      <c r="C15" s="41"/>
      <c r="D15" s="44" t="s">
        <v>190</v>
      </c>
      <c r="E15" s="56">
        <v>52369118</v>
      </c>
      <c r="F15" s="56">
        <v>9779591</v>
      </c>
      <c r="G15" s="56">
        <f>143008300-G16</f>
        <v>61816387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81191913</v>
      </c>
      <c r="G16" s="56">
        <f>F16</f>
        <v>81191913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0</v>
      </c>
      <c r="G22" s="56">
        <f t="shared" ref="G22" si="2">G9-G14+G18</f>
        <v>332322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0</v>
      </c>
      <c r="G23" s="56">
        <f t="shared" si="3"/>
        <v>332322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0</v>
      </c>
      <c r="G24" s="56">
        <f t="shared" si="4"/>
        <v>332322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194" t="s">
        <v>198</v>
      </c>
      <c r="D27" s="195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0</v>
      </c>
      <c r="G33" s="61">
        <f t="shared" si="6"/>
        <v>332322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8" t="s">
        <v>198</v>
      </c>
      <c r="D36" s="189"/>
      <c r="E36" s="196" t="s">
        <v>205</v>
      </c>
      <c r="F36" s="198" t="s">
        <v>182</v>
      </c>
      <c r="G36" s="62" t="s">
        <v>183</v>
      </c>
    </row>
    <row r="37" spans="3:7" ht="12" customHeight="1" thickBot="1" x14ac:dyDescent="0.3">
      <c r="C37" s="190"/>
      <c r="D37" s="191"/>
      <c r="E37" s="197"/>
      <c r="F37" s="199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184"/>
      <c r="D46" s="186" t="s">
        <v>212</v>
      </c>
      <c r="E46" s="182">
        <f>E39-E42</f>
        <v>0</v>
      </c>
      <c r="F46" s="182">
        <f t="shared" ref="F46:G46" si="9">F39-F42</f>
        <v>0</v>
      </c>
      <c r="G46" s="182">
        <f t="shared" si="9"/>
        <v>0</v>
      </c>
    </row>
    <row r="47" spans="3:7" ht="12" customHeight="1" thickBot="1" x14ac:dyDescent="0.3">
      <c r="C47" s="185"/>
      <c r="D47" s="187"/>
      <c r="E47" s="183"/>
      <c r="F47" s="183"/>
      <c r="G47" s="183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8" t="s">
        <v>198</v>
      </c>
      <c r="D49" s="189"/>
      <c r="E49" s="62" t="s">
        <v>180</v>
      </c>
      <c r="F49" s="198" t="s">
        <v>182</v>
      </c>
      <c r="G49" s="62" t="s">
        <v>183</v>
      </c>
    </row>
    <row r="50" spans="3:7" ht="12" customHeight="1" thickBot="1" x14ac:dyDescent="0.3">
      <c r="C50" s="190"/>
      <c r="D50" s="191"/>
      <c r="E50" s="63" t="s">
        <v>199</v>
      </c>
      <c r="F50" s="199"/>
      <c r="G50" s="63" t="s">
        <v>200</v>
      </c>
    </row>
    <row r="51" spans="3:7" ht="12" customHeight="1" x14ac:dyDescent="0.25">
      <c r="C51" s="206"/>
      <c r="D51" s="207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52369118</v>
      </c>
      <c r="F52" s="64">
        <f>F10</f>
        <v>9498235</v>
      </c>
      <c r="G52" s="64">
        <f t="shared" ref="G52" si="10">G10</f>
        <v>61867353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52369118</v>
      </c>
      <c r="F57" s="64">
        <f t="shared" ref="F57:G57" si="12">F15</f>
        <v>9779591</v>
      </c>
      <c r="G57" s="64">
        <f t="shared" si="12"/>
        <v>61816387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-281356</v>
      </c>
      <c r="G61" s="66">
        <f t="shared" si="14"/>
        <v>50966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-281356</v>
      </c>
      <c r="G62" s="66">
        <f t="shared" si="15"/>
        <v>50966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8" t="s">
        <v>198</v>
      </c>
      <c r="D65" s="189"/>
      <c r="E65" s="196" t="s">
        <v>205</v>
      </c>
      <c r="F65" s="198" t="s">
        <v>182</v>
      </c>
      <c r="G65" s="62" t="s">
        <v>183</v>
      </c>
    </row>
    <row r="66" spans="3:7" ht="12" customHeight="1" thickBot="1" x14ac:dyDescent="0.3">
      <c r="C66" s="190"/>
      <c r="D66" s="191"/>
      <c r="E66" s="197"/>
      <c r="F66" s="199"/>
      <c r="G66" s="63" t="s">
        <v>200</v>
      </c>
    </row>
    <row r="67" spans="3:7" ht="12" customHeight="1" x14ac:dyDescent="0.25">
      <c r="C67" s="206"/>
      <c r="D67" s="207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81473269</v>
      </c>
      <c r="G68" s="64">
        <f>F68</f>
        <v>81473269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81191913</v>
      </c>
      <c r="G73" s="64">
        <f t="shared" si="17"/>
        <v>81191913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281356</v>
      </c>
      <c r="G77" s="66">
        <f t="shared" si="18"/>
        <v>281356</v>
      </c>
    </row>
    <row r="78" spans="3:7" ht="12" customHeight="1" x14ac:dyDescent="0.25">
      <c r="C78" s="184"/>
      <c r="D78" s="186" t="s">
        <v>220</v>
      </c>
      <c r="E78" s="182">
        <f>E77-E69</f>
        <v>0</v>
      </c>
      <c r="F78" s="182">
        <f t="shared" ref="F78:G78" si="19">F77-F69</f>
        <v>281356</v>
      </c>
      <c r="G78" s="182">
        <f t="shared" si="19"/>
        <v>281356</v>
      </c>
    </row>
    <row r="79" spans="3:7" ht="12" customHeight="1" thickBot="1" x14ac:dyDescent="0.3">
      <c r="C79" s="185"/>
      <c r="D79" s="187"/>
      <c r="E79" s="183"/>
      <c r="F79" s="183"/>
      <c r="G79" s="183"/>
    </row>
    <row r="80" spans="3:7" x14ac:dyDescent="0.25">
      <c r="C80" s="104"/>
      <c r="D80" s="104"/>
      <c r="E80" s="104"/>
      <c r="F80" s="104"/>
    </row>
  </sheetData>
  <mergeCells count="27"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  <mergeCell ref="C6:D7"/>
    <mergeCell ref="F6:F7"/>
    <mergeCell ref="C27:D27"/>
    <mergeCell ref="C36:D37"/>
    <mergeCell ref="E36:E37"/>
    <mergeCell ref="F36:F37"/>
    <mergeCell ref="E46:E47"/>
    <mergeCell ref="F46:F47"/>
    <mergeCell ref="F78:F79"/>
    <mergeCell ref="C46:C47"/>
    <mergeCell ref="D46:D47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J79"/>
  <sheetViews>
    <sheetView topLeftCell="B1" zoomScale="110" zoomScaleNormal="110" workbookViewId="0">
      <selection activeCell="D81" sqref="D81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38" t="s">
        <v>120</v>
      </c>
      <c r="C1" s="139"/>
      <c r="D1" s="139"/>
      <c r="E1" s="139"/>
      <c r="F1" s="139"/>
      <c r="G1" s="139"/>
      <c r="H1" s="139"/>
      <c r="I1" s="139"/>
      <c r="J1" s="140"/>
    </row>
    <row r="2" spans="2:10" ht="12" customHeight="1" x14ac:dyDescent="0.25">
      <c r="B2" s="200" t="s">
        <v>221</v>
      </c>
      <c r="C2" s="201"/>
      <c r="D2" s="201"/>
      <c r="E2" s="201"/>
      <c r="F2" s="201"/>
      <c r="G2" s="201"/>
      <c r="H2" s="201"/>
      <c r="I2" s="201"/>
      <c r="J2" s="202"/>
    </row>
    <row r="3" spans="2:10" ht="12" customHeight="1" x14ac:dyDescent="0.25">
      <c r="B3" s="200" t="s">
        <v>455</v>
      </c>
      <c r="C3" s="201"/>
      <c r="D3" s="201"/>
      <c r="E3" s="201"/>
      <c r="F3" s="201"/>
      <c r="G3" s="201"/>
      <c r="H3" s="201"/>
      <c r="I3" s="201"/>
      <c r="J3" s="202"/>
    </row>
    <row r="4" spans="2:10" ht="12" customHeight="1" thickBot="1" x14ac:dyDescent="0.3">
      <c r="B4" s="203" t="s">
        <v>1</v>
      </c>
      <c r="C4" s="204"/>
      <c r="D4" s="204"/>
      <c r="E4" s="204"/>
      <c r="F4" s="204"/>
      <c r="G4" s="204"/>
      <c r="H4" s="204"/>
      <c r="I4" s="204"/>
      <c r="J4" s="205"/>
    </row>
    <row r="5" spans="2:10" ht="12" customHeight="1" thickBot="1" x14ac:dyDescent="0.3">
      <c r="B5" s="138"/>
      <c r="C5" s="139"/>
      <c r="D5" s="140"/>
      <c r="E5" s="176" t="s">
        <v>222</v>
      </c>
      <c r="F5" s="177"/>
      <c r="G5" s="177"/>
      <c r="H5" s="177"/>
      <c r="I5" s="178"/>
      <c r="J5" s="212" t="s">
        <v>289</v>
      </c>
    </row>
    <row r="6" spans="2:10" ht="12" customHeight="1" x14ac:dyDescent="0.25">
      <c r="B6" s="200" t="s">
        <v>198</v>
      </c>
      <c r="C6" s="201"/>
      <c r="D6" s="202"/>
      <c r="E6" s="212" t="s">
        <v>288</v>
      </c>
      <c r="F6" s="192" t="s">
        <v>223</v>
      </c>
      <c r="G6" s="212" t="s">
        <v>224</v>
      </c>
      <c r="H6" s="212" t="s">
        <v>182</v>
      </c>
      <c r="I6" s="212" t="s">
        <v>225</v>
      </c>
      <c r="J6" s="213"/>
    </row>
    <row r="7" spans="2:10" ht="12" customHeight="1" thickBot="1" x14ac:dyDescent="0.3">
      <c r="B7" s="203"/>
      <c r="C7" s="204"/>
      <c r="D7" s="205"/>
      <c r="E7" s="214"/>
      <c r="F7" s="193"/>
      <c r="G7" s="214"/>
      <c r="H7" s="214"/>
      <c r="I7" s="214"/>
      <c r="J7" s="214"/>
    </row>
    <row r="8" spans="2:10" ht="6" customHeight="1" x14ac:dyDescent="0.25">
      <c r="B8" s="209"/>
      <c r="C8" s="210"/>
      <c r="D8" s="211"/>
      <c r="E8" s="68"/>
      <c r="F8" s="68"/>
      <c r="G8" s="68"/>
      <c r="H8" s="68"/>
      <c r="I8" s="68"/>
      <c r="J8" s="68"/>
    </row>
    <row r="9" spans="2:10" ht="12" customHeight="1" x14ac:dyDescent="0.25">
      <c r="B9" s="215" t="s">
        <v>226</v>
      </c>
      <c r="C9" s="216"/>
      <c r="D9" s="217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8" t="s">
        <v>227</v>
      </c>
      <c r="D10" s="219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8" t="s">
        <v>228</v>
      </c>
      <c r="D11" s="219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8" t="s">
        <v>229</v>
      </c>
      <c r="D12" s="219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8" t="s">
        <v>230</v>
      </c>
      <c r="D13" s="219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8" t="s">
        <v>231</v>
      </c>
      <c r="D14" s="219"/>
      <c r="E14" s="76">
        <v>0</v>
      </c>
      <c r="F14" s="76">
        <v>479066</v>
      </c>
      <c r="G14" s="76">
        <f>F14</f>
        <v>479066</v>
      </c>
      <c r="H14" s="76">
        <f>G14</f>
        <v>479066</v>
      </c>
      <c r="I14" s="76">
        <f>H14</f>
        <v>479066</v>
      </c>
      <c r="J14" s="76">
        <f>I14-E14</f>
        <v>479066</v>
      </c>
    </row>
    <row r="15" spans="2:10" ht="12" customHeight="1" x14ac:dyDescent="0.25">
      <c r="B15" s="69"/>
      <c r="C15" s="218" t="s">
        <v>232</v>
      </c>
      <c r="D15" s="219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8" t="s">
        <v>233</v>
      </c>
      <c r="D16" s="219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0"/>
      <c r="C17" s="218" t="s">
        <v>234</v>
      </c>
      <c r="D17" s="219"/>
      <c r="E17" s="208">
        <f>SUM(E19:E29)</f>
        <v>0</v>
      </c>
      <c r="F17" s="208">
        <v>0</v>
      </c>
      <c r="G17" s="208">
        <f>F17</f>
        <v>0</v>
      </c>
      <c r="H17" s="208">
        <f>G17</f>
        <v>0</v>
      </c>
      <c r="I17" s="208">
        <f>H17</f>
        <v>0</v>
      </c>
      <c r="J17" s="208">
        <f>SUM(J19:J29)</f>
        <v>0</v>
      </c>
    </row>
    <row r="18" spans="2:10" ht="12" customHeight="1" x14ac:dyDescent="0.25">
      <c r="B18" s="220"/>
      <c r="C18" s="218" t="s">
        <v>235</v>
      </c>
      <c r="D18" s="219"/>
      <c r="E18" s="208"/>
      <c r="F18" s="208"/>
      <c r="G18" s="208"/>
      <c r="H18" s="208"/>
      <c r="I18" s="208"/>
      <c r="J18" s="208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8" t="s">
        <v>247</v>
      </c>
      <c r="D30" s="219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18" t="s">
        <v>441</v>
      </c>
      <c r="D36" s="219"/>
      <c r="E36" s="76">
        <v>52369118</v>
      </c>
      <c r="F36" s="76">
        <f>8512684+506485</f>
        <v>9019169</v>
      </c>
      <c r="G36" s="76">
        <f t="shared" si="0"/>
        <v>61388287</v>
      </c>
      <c r="H36" s="76">
        <f t="shared" ref="H36:I38" si="6">G36</f>
        <v>61388287</v>
      </c>
      <c r="I36" s="76">
        <f t="shared" si="6"/>
        <v>61388287</v>
      </c>
      <c r="J36" s="76">
        <f>I36-E36</f>
        <v>9019169</v>
      </c>
    </row>
    <row r="37" spans="2:10" ht="12" customHeight="1" x14ac:dyDescent="0.25">
      <c r="B37" s="69"/>
      <c r="C37" s="218" t="s">
        <v>253</v>
      </c>
      <c r="D37" s="219"/>
      <c r="E37" s="76">
        <f>E38</f>
        <v>0</v>
      </c>
      <c r="F37" s="76">
        <f t="shared" ref="F37:G37" si="7">F38</f>
        <v>0</v>
      </c>
      <c r="G37" s="76">
        <f t="shared" si="7"/>
        <v>0</v>
      </c>
      <c r="H37" s="76">
        <f t="shared" si="6"/>
        <v>0</v>
      </c>
      <c r="I37" s="76">
        <f t="shared" si="6"/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6"/>
        <v>0</v>
      </c>
      <c r="I38" s="76">
        <f t="shared" si="6"/>
        <v>0</v>
      </c>
      <c r="J38" s="76">
        <f t="shared" ref="J38:J56" si="8">I38-E38</f>
        <v>0</v>
      </c>
    </row>
    <row r="39" spans="2:10" ht="12" customHeight="1" x14ac:dyDescent="0.25">
      <c r="B39" s="69"/>
      <c r="C39" s="218" t="s">
        <v>255</v>
      </c>
      <c r="D39" s="219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9">F39+G39</f>
        <v>0</v>
      </c>
      <c r="I39" s="76">
        <f t="shared" ref="I39" si="10">G39+H39</f>
        <v>0</v>
      </c>
      <c r="J39" s="76">
        <f t="shared" ref="J39" si="11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8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8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5" t="s">
        <v>258</v>
      </c>
      <c r="C43" s="216"/>
      <c r="D43" s="221"/>
      <c r="E43" s="222">
        <f>E10+E11+E12+E13+E14+E15+E16+E17+E30+E36+E37+E39</f>
        <v>52369118</v>
      </c>
      <c r="F43" s="222">
        <f t="shared" ref="F43:J43" si="12">F10+F11+F12+F13+F14+F15+F16+F17+F30+F36+F37+F39</f>
        <v>9498235</v>
      </c>
      <c r="G43" s="222">
        <f t="shared" si="12"/>
        <v>61867353</v>
      </c>
      <c r="H43" s="222">
        <f t="shared" si="12"/>
        <v>61867353</v>
      </c>
      <c r="I43" s="222">
        <f t="shared" si="12"/>
        <v>61867353</v>
      </c>
      <c r="J43" s="222">
        <f t="shared" si="12"/>
        <v>9498235</v>
      </c>
    </row>
    <row r="44" spans="2:10" ht="12" customHeight="1" x14ac:dyDescent="0.25">
      <c r="B44" s="215" t="s">
        <v>259</v>
      </c>
      <c r="C44" s="216"/>
      <c r="D44" s="221"/>
      <c r="E44" s="222"/>
      <c r="F44" s="222"/>
      <c r="G44" s="222"/>
      <c r="H44" s="222"/>
      <c r="I44" s="222"/>
      <c r="J44" s="222"/>
    </row>
    <row r="45" spans="2:10" ht="12" customHeight="1" x14ac:dyDescent="0.25">
      <c r="B45" s="215" t="s">
        <v>260</v>
      </c>
      <c r="C45" s="216"/>
      <c r="D45" s="221"/>
      <c r="E45" s="76"/>
      <c r="F45" s="76"/>
      <c r="G45" s="76"/>
      <c r="H45" s="76"/>
      <c r="I45" s="76"/>
      <c r="J45" s="76">
        <f t="shared" si="8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5" t="s">
        <v>261</v>
      </c>
      <c r="C47" s="216"/>
      <c r="D47" s="221"/>
      <c r="E47" s="76"/>
      <c r="F47" s="76"/>
      <c r="G47" s="76"/>
      <c r="H47" s="76"/>
      <c r="I47" s="76"/>
      <c r="J47" s="76">
        <f t="shared" si="8"/>
        <v>0</v>
      </c>
    </row>
    <row r="48" spans="2:10" ht="12" customHeight="1" x14ac:dyDescent="0.25">
      <c r="B48" s="69"/>
      <c r="C48" s="218" t="s">
        <v>262</v>
      </c>
      <c r="D48" s="219"/>
      <c r="E48" s="76">
        <f>SUM(E49:E56)</f>
        <v>0</v>
      </c>
      <c r="F48" s="76">
        <f t="shared" ref="F48:I48" si="13">SUM(F49:F56)</f>
        <v>0</v>
      </c>
      <c r="G48" s="76">
        <f t="shared" si="13"/>
        <v>0</v>
      </c>
      <c r="H48" s="76">
        <f t="shared" si="13"/>
        <v>0</v>
      </c>
      <c r="I48" s="76">
        <f t="shared" si="13"/>
        <v>0</v>
      </c>
      <c r="J48" s="76">
        <f t="shared" si="8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8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8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8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8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8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8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8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8"/>
        <v>0</v>
      </c>
    </row>
    <row r="57" spans="2:10" ht="12" customHeight="1" x14ac:dyDescent="0.25">
      <c r="B57" s="69"/>
      <c r="C57" s="218" t="s">
        <v>271</v>
      </c>
      <c r="D57" s="219"/>
      <c r="E57" s="76">
        <f>SUM(E58:E61)</f>
        <v>0</v>
      </c>
      <c r="F57" s="76">
        <f>SUM(F58:F61)</f>
        <v>81473269</v>
      </c>
      <c r="G57" s="76">
        <f>SUM(G58:G61)</f>
        <v>81473269</v>
      </c>
      <c r="H57" s="76">
        <f t="shared" ref="H57:I57" si="14">SUM(H58:H61)</f>
        <v>81473269</v>
      </c>
      <c r="I57" s="76">
        <f t="shared" si="14"/>
        <v>81473269</v>
      </c>
      <c r="J57" s="76">
        <f>I57-E57</f>
        <v>81473269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5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5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5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81473269</v>
      </c>
      <c r="G61" s="76">
        <f>F61</f>
        <v>81473269</v>
      </c>
      <c r="H61" s="76">
        <f>G61</f>
        <v>81473269</v>
      </c>
      <c r="I61" s="76">
        <f>H61</f>
        <v>81473269</v>
      </c>
      <c r="J61" s="76">
        <f>I61-E61</f>
        <v>81473269</v>
      </c>
    </row>
    <row r="62" spans="2:10" ht="12" customHeight="1" x14ac:dyDescent="0.25">
      <c r="B62" s="69"/>
      <c r="C62" s="218" t="s">
        <v>276</v>
      </c>
      <c r="D62" s="219"/>
      <c r="E62" s="76">
        <f>E63+E64</f>
        <v>0</v>
      </c>
      <c r="F62" s="76">
        <f t="shared" ref="F62:I62" si="16">F63+F64</f>
        <v>0</v>
      </c>
      <c r="G62" s="76">
        <f t="shared" si="16"/>
        <v>0</v>
      </c>
      <c r="H62" s="76">
        <f t="shared" si="16"/>
        <v>0</v>
      </c>
      <c r="I62" s="76">
        <f t="shared" si="16"/>
        <v>0</v>
      </c>
      <c r="J62" s="76">
        <f t="shared" si="15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5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5"/>
        <v>0</v>
      </c>
    </row>
    <row r="65" spans="2:10" ht="12" customHeight="1" x14ac:dyDescent="0.25">
      <c r="B65" s="69"/>
      <c r="C65" s="218" t="s">
        <v>442</v>
      </c>
      <c r="D65" s="219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5"/>
        <v>0</v>
      </c>
    </row>
    <row r="66" spans="2:10" ht="12" customHeight="1" x14ac:dyDescent="0.25">
      <c r="B66" s="69"/>
      <c r="C66" s="218" t="s">
        <v>279</v>
      </c>
      <c r="D66" s="219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5"/>
        <v>0</v>
      </c>
    </row>
    <row r="67" spans="2:10" ht="12" customHeight="1" x14ac:dyDescent="0.25">
      <c r="B67" s="72"/>
      <c r="C67" s="223"/>
      <c r="D67" s="224"/>
      <c r="E67" s="76"/>
      <c r="F67" s="76"/>
      <c r="G67" s="76"/>
      <c r="H67" s="76"/>
      <c r="I67" s="76"/>
      <c r="J67" s="76">
        <f t="shared" si="15"/>
        <v>0</v>
      </c>
    </row>
    <row r="68" spans="2:10" ht="12" customHeight="1" x14ac:dyDescent="0.25">
      <c r="B68" s="215" t="s">
        <v>280</v>
      </c>
      <c r="C68" s="216"/>
      <c r="D68" s="221"/>
      <c r="E68" s="76">
        <f>E48+E57+E62+E65+E66</f>
        <v>0</v>
      </c>
      <c r="F68" s="76">
        <f t="shared" ref="F68:J68" si="17">F48+F57+F62+F65+F66</f>
        <v>81473269</v>
      </c>
      <c r="G68" s="76">
        <f t="shared" si="17"/>
        <v>81473269</v>
      </c>
      <c r="H68" s="76">
        <f t="shared" si="17"/>
        <v>81473269</v>
      </c>
      <c r="I68" s="76">
        <f t="shared" si="17"/>
        <v>81473269</v>
      </c>
      <c r="J68" s="76">
        <f t="shared" si="17"/>
        <v>81473269</v>
      </c>
    </row>
    <row r="69" spans="2:10" ht="12" customHeight="1" x14ac:dyDescent="0.25">
      <c r="B69" s="72"/>
      <c r="C69" s="223"/>
      <c r="D69" s="224"/>
      <c r="E69" s="76"/>
      <c r="F69" s="76"/>
      <c r="G69" s="76"/>
      <c r="H69" s="76"/>
      <c r="I69" s="76"/>
      <c r="J69" s="76">
        <f t="shared" si="15"/>
        <v>0</v>
      </c>
    </row>
    <row r="70" spans="2:10" ht="12" customHeight="1" x14ac:dyDescent="0.25">
      <c r="B70" s="215" t="s">
        <v>281</v>
      </c>
      <c r="C70" s="216"/>
      <c r="D70" s="221"/>
      <c r="E70" s="76">
        <f>E71</f>
        <v>0</v>
      </c>
      <c r="F70" s="76">
        <f t="shared" ref="F70:I70" si="18">F71</f>
        <v>0</v>
      </c>
      <c r="G70" s="76">
        <f t="shared" si="18"/>
        <v>0</v>
      </c>
      <c r="H70" s="76">
        <f t="shared" si="18"/>
        <v>0</v>
      </c>
      <c r="I70" s="76">
        <f t="shared" si="18"/>
        <v>0</v>
      </c>
      <c r="J70" s="76">
        <f t="shared" si="15"/>
        <v>0</v>
      </c>
    </row>
    <row r="71" spans="2:10" ht="12" customHeight="1" x14ac:dyDescent="0.25">
      <c r="B71" s="69"/>
      <c r="C71" s="218" t="s">
        <v>282</v>
      </c>
      <c r="D71" s="219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5"/>
        <v>0</v>
      </c>
    </row>
    <row r="72" spans="2:10" ht="12" customHeight="1" x14ac:dyDescent="0.25">
      <c r="B72" s="72"/>
      <c r="C72" s="223"/>
      <c r="D72" s="224"/>
      <c r="E72" s="76"/>
      <c r="F72" s="76"/>
      <c r="G72" s="76"/>
      <c r="H72" s="76"/>
      <c r="I72" s="76"/>
      <c r="J72" s="76">
        <f t="shared" si="15"/>
        <v>0</v>
      </c>
    </row>
    <row r="73" spans="2:10" ht="12" customHeight="1" x14ac:dyDescent="0.25">
      <c r="B73" s="215" t="s">
        <v>283</v>
      </c>
      <c r="C73" s="216"/>
      <c r="D73" s="221"/>
      <c r="E73" s="76">
        <f>E43+E68+E70</f>
        <v>52369118</v>
      </c>
      <c r="F73" s="76">
        <f t="shared" ref="F73:I73" si="19">F43+F68+F70</f>
        <v>90971504</v>
      </c>
      <c r="G73" s="76">
        <f t="shared" si="19"/>
        <v>143340622</v>
      </c>
      <c r="H73" s="76">
        <f t="shared" si="19"/>
        <v>143340622</v>
      </c>
      <c r="I73" s="76">
        <f t="shared" si="19"/>
        <v>143340622</v>
      </c>
      <c r="J73" s="76">
        <f>J43+J68+J70</f>
        <v>90971504</v>
      </c>
    </row>
    <row r="74" spans="2:10" ht="12" customHeight="1" x14ac:dyDescent="0.25">
      <c r="B74" s="72"/>
      <c r="C74" s="223"/>
      <c r="D74" s="224"/>
      <c r="E74" s="76"/>
      <c r="F74" s="76"/>
      <c r="G74" s="76"/>
      <c r="H74" s="76"/>
      <c r="I74" s="76"/>
      <c r="J74" s="76">
        <f t="shared" si="15"/>
        <v>0</v>
      </c>
    </row>
    <row r="75" spans="2:10" ht="12" customHeight="1" x14ac:dyDescent="0.25">
      <c r="B75" s="69"/>
      <c r="C75" s="216" t="s">
        <v>284</v>
      </c>
      <c r="D75" s="221"/>
      <c r="E75" s="76"/>
      <c r="F75" s="76"/>
      <c r="G75" s="76"/>
      <c r="H75" s="76"/>
      <c r="I75" s="76"/>
      <c r="J75" s="76">
        <f t="shared" si="15"/>
        <v>0</v>
      </c>
    </row>
    <row r="76" spans="2:10" ht="12" customHeight="1" x14ac:dyDescent="0.25">
      <c r="B76" s="69"/>
      <c r="C76" s="218" t="s">
        <v>285</v>
      </c>
      <c r="D76" s="219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0">I76-E76</f>
        <v>0</v>
      </c>
    </row>
    <row r="77" spans="2:10" ht="15" customHeight="1" x14ac:dyDescent="0.25">
      <c r="B77" s="69"/>
      <c r="C77" s="227" t="s">
        <v>286</v>
      </c>
      <c r="D77" s="228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0"/>
        <v>0</v>
      </c>
    </row>
    <row r="78" spans="2:10" ht="12" customHeight="1" x14ac:dyDescent="0.25">
      <c r="B78" s="69"/>
      <c r="C78" s="216" t="s">
        <v>287</v>
      </c>
      <c r="D78" s="221"/>
      <c r="E78" s="76">
        <f>E76+E77</f>
        <v>0</v>
      </c>
      <c r="F78" s="76">
        <f t="shared" ref="F78:J78" si="21">F76+F77</f>
        <v>0</v>
      </c>
      <c r="G78" s="76">
        <f t="shared" si="21"/>
        <v>0</v>
      </c>
      <c r="H78" s="76">
        <f t="shared" si="21"/>
        <v>0</v>
      </c>
      <c r="I78" s="76">
        <f t="shared" si="21"/>
        <v>0</v>
      </c>
      <c r="J78" s="76">
        <f t="shared" si="21"/>
        <v>0</v>
      </c>
    </row>
    <row r="79" spans="2:10" ht="12" customHeight="1" thickBot="1" x14ac:dyDescent="0.3">
      <c r="B79" s="75"/>
      <c r="C79" s="225"/>
      <c r="D79" s="226"/>
      <c r="E79" s="77"/>
      <c r="F79" s="77"/>
      <c r="G79" s="77"/>
      <c r="H79" s="77"/>
      <c r="I79" s="77"/>
      <c r="J79" s="77"/>
    </row>
  </sheetData>
  <mergeCells count="64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37:D37"/>
    <mergeCell ref="C39:D39"/>
    <mergeCell ref="B43:D43"/>
    <mergeCell ref="B44:D44"/>
    <mergeCell ref="E43:E44"/>
    <mergeCell ref="G17:G18"/>
    <mergeCell ref="H17:H18"/>
    <mergeCell ref="I17:I18"/>
    <mergeCell ref="C30:D30"/>
    <mergeCell ref="E17:E18"/>
    <mergeCell ref="F17:F18"/>
    <mergeCell ref="C14:D14"/>
    <mergeCell ref="C36:D36"/>
    <mergeCell ref="C16:D16"/>
    <mergeCell ref="B17:B18"/>
    <mergeCell ref="C17:D17"/>
    <mergeCell ref="C18:D18"/>
    <mergeCell ref="C15:D15"/>
    <mergeCell ref="B9:D9"/>
    <mergeCell ref="C10:D10"/>
    <mergeCell ref="C11:D11"/>
    <mergeCell ref="C12:D12"/>
    <mergeCell ref="C13:D13"/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F29" sqref="F29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37" t="s">
        <v>120</v>
      </c>
      <c r="B1" s="238"/>
      <c r="C1" s="238"/>
      <c r="D1" s="238"/>
      <c r="E1" s="238"/>
      <c r="F1" s="238"/>
      <c r="G1" s="238"/>
      <c r="H1" s="239"/>
    </row>
    <row r="2" spans="1:8" ht="10.5" customHeight="1" x14ac:dyDescent="0.25">
      <c r="A2" s="240" t="s">
        <v>290</v>
      </c>
      <c r="B2" s="241"/>
      <c r="C2" s="241"/>
      <c r="D2" s="241"/>
      <c r="E2" s="241"/>
      <c r="F2" s="241"/>
      <c r="G2" s="241"/>
      <c r="H2" s="242"/>
    </row>
    <row r="3" spans="1:8" ht="10.5" customHeight="1" x14ac:dyDescent="0.25">
      <c r="A3" s="240" t="s">
        <v>291</v>
      </c>
      <c r="B3" s="241"/>
      <c r="C3" s="241"/>
      <c r="D3" s="241"/>
      <c r="E3" s="241"/>
      <c r="F3" s="241"/>
      <c r="G3" s="241"/>
      <c r="H3" s="242"/>
    </row>
    <row r="4" spans="1:8" ht="10.5" customHeight="1" x14ac:dyDescent="0.25">
      <c r="A4" s="240" t="s">
        <v>455</v>
      </c>
      <c r="B4" s="241"/>
      <c r="C4" s="241"/>
      <c r="D4" s="241"/>
      <c r="E4" s="241"/>
      <c r="F4" s="241"/>
      <c r="G4" s="241"/>
      <c r="H4" s="242"/>
    </row>
    <row r="5" spans="1:8" ht="10.5" customHeight="1" thickBot="1" x14ac:dyDescent="0.3">
      <c r="A5" s="243" t="s">
        <v>1</v>
      </c>
      <c r="B5" s="244"/>
      <c r="C5" s="244"/>
      <c r="D5" s="244"/>
      <c r="E5" s="244"/>
      <c r="F5" s="244"/>
      <c r="G5" s="244"/>
      <c r="H5" s="245"/>
    </row>
    <row r="6" spans="1:8" ht="10.5" customHeight="1" thickBot="1" x14ac:dyDescent="0.3">
      <c r="A6" s="237" t="s">
        <v>370</v>
      </c>
      <c r="B6" s="246"/>
      <c r="C6" s="248" t="s">
        <v>292</v>
      </c>
      <c r="D6" s="249"/>
      <c r="E6" s="249"/>
      <c r="F6" s="249"/>
      <c r="G6" s="250"/>
      <c r="H6" s="251" t="s">
        <v>371</v>
      </c>
    </row>
    <row r="7" spans="1:8" ht="18.75" customHeight="1" thickBot="1" x14ac:dyDescent="0.3">
      <c r="A7" s="243"/>
      <c r="B7" s="24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52"/>
    </row>
    <row r="8" spans="1:8" ht="10.5" customHeight="1" x14ac:dyDescent="0.25">
      <c r="A8" s="235" t="s">
        <v>296</v>
      </c>
      <c r="B8" s="236"/>
      <c r="C8" s="89">
        <f>C9+C17+C27+C37+C47+C57+C70+C61+C74</f>
        <v>52369118</v>
      </c>
      <c r="D8" s="89">
        <f>D9+D17+D27+D37+D47+D57+D61+D70+D74</f>
        <v>9498236</v>
      </c>
      <c r="E8" s="89">
        <f>E9+E17+E27+E37+E47+E57+E70+E61+E74</f>
        <v>61867354</v>
      </c>
      <c r="F8" s="89">
        <f>F9+F17+F27+F37+F47+F57+F70+F61+F74</f>
        <v>61816387</v>
      </c>
      <c r="G8" s="89">
        <f>G9+G17+G27+G37+G47+G57+G70+G61+G74</f>
        <v>61816387</v>
      </c>
      <c r="H8" s="89">
        <f t="shared" ref="H8" si="0">H9+H17+H27+H37+H47+H57+H70+H61+H74</f>
        <v>50967</v>
      </c>
    </row>
    <row r="9" spans="1:8" ht="10.5" customHeight="1" x14ac:dyDescent="0.25">
      <c r="A9" s="229" t="s">
        <v>297</v>
      </c>
      <c r="B9" s="230"/>
      <c r="C9" s="85">
        <f>SUM(C10:C16)</f>
        <v>15069362</v>
      </c>
      <c r="D9" s="85">
        <f>SUM(D10:D16)</f>
        <v>800000</v>
      </c>
      <c r="E9" s="85">
        <f>C9+D9</f>
        <v>15869362</v>
      </c>
      <c r="F9" s="85">
        <f>SUM(F10:F16)</f>
        <v>15418591</v>
      </c>
      <c r="G9" s="85">
        <f t="shared" ref="G9:H9" si="1">SUM(G10:G16)</f>
        <v>15418591</v>
      </c>
      <c r="H9" s="85">
        <f t="shared" si="1"/>
        <v>450771</v>
      </c>
    </row>
    <row r="10" spans="1:8" ht="10.5" customHeight="1" x14ac:dyDescent="0.25">
      <c r="A10" s="82"/>
      <c r="B10" s="81" t="s">
        <v>298</v>
      </c>
      <c r="C10" s="85">
        <v>10672493</v>
      </c>
      <c r="D10" s="86">
        <v>504970</v>
      </c>
      <c r="E10" s="85">
        <f t="shared" ref="E10:E16" si="2">C10+D10</f>
        <v>11177463</v>
      </c>
      <c r="F10" s="86">
        <v>10710012</v>
      </c>
      <c r="G10" s="86">
        <f>F10</f>
        <v>10710012</v>
      </c>
      <c r="H10" s="86">
        <f>E10-F10</f>
        <v>467451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1839814</v>
      </c>
      <c r="D12" s="86">
        <v>75670</v>
      </c>
      <c r="E12" s="85">
        <f t="shared" si="2"/>
        <v>1915484</v>
      </c>
      <c r="F12" s="86">
        <v>1852133</v>
      </c>
      <c r="G12" s="86">
        <f t="shared" si="3"/>
        <v>1852133</v>
      </c>
      <c r="H12" s="86">
        <f t="shared" si="4"/>
        <v>63351</v>
      </c>
    </row>
    <row r="13" spans="1:8" ht="10.5" customHeight="1" x14ac:dyDescent="0.25">
      <c r="A13" s="82"/>
      <c r="B13" s="81" t="s">
        <v>301</v>
      </c>
      <c r="C13" s="85">
        <v>420000</v>
      </c>
      <c r="D13" s="86">
        <v>19055</v>
      </c>
      <c r="E13" s="85">
        <f t="shared" si="2"/>
        <v>439055</v>
      </c>
      <c r="F13" s="86">
        <v>348173</v>
      </c>
      <c r="G13" s="86">
        <f t="shared" si="3"/>
        <v>348173</v>
      </c>
      <c r="H13" s="86">
        <f t="shared" si="4"/>
        <v>90882</v>
      </c>
    </row>
    <row r="14" spans="1:8" ht="10.5" customHeight="1" x14ac:dyDescent="0.25">
      <c r="A14" s="82"/>
      <c r="B14" s="81" t="s">
        <v>302</v>
      </c>
      <c r="C14" s="85">
        <v>2137055</v>
      </c>
      <c r="D14" s="86">
        <v>200305</v>
      </c>
      <c r="E14" s="85">
        <f t="shared" si="2"/>
        <v>2337360</v>
      </c>
      <c r="F14" s="86">
        <v>2508273</v>
      </c>
      <c r="G14" s="86">
        <f t="shared" si="3"/>
        <v>2508273</v>
      </c>
      <c r="H14" s="86">
        <f t="shared" si="4"/>
        <v>-170913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29" t="s">
        <v>305</v>
      </c>
      <c r="B17" s="230"/>
      <c r="C17" s="85">
        <f>SUM(C18:C26)</f>
        <v>1348824</v>
      </c>
      <c r="D17" s="85">
        <f>SUM(D18:D26)</f>
        <v>-338670</v>
      </c>
      <c r="E17" s="85">
        <f>SUM(E18:E26)</f>
        <v>1010154</v>
      </c>
      <c r="F17" s="85">
        <f>SUM(F18:F26)</f>
        <v>2228407</v>
      </c>
      <c r="G17" s="85">
        <f>SUM(G18:G26)</f>
        <v>2228407</v>
      </c>
      <c r="H17" s="86">
        <f t="shared" ref="H17:H56" si="5">E17-F17</f>
        <v>-1218253</v>
      </c>
    </row>
    <row r="18" spans="1:10" ht="10.5" customHeight="1" x14ac:dyDescent="0.25">
      <c r="A18" s="82"/>
      <c r="B18" s="81" t="s">
        <v>306</v>
      </c>
      <c r="C18" s="85">
        <v>612864</v>
      </c>
      <c r="D18" s="86">
        <f>-129000-D95</f>
        <v>-129000</v>
      </c>
      <c r="E18" s="86">
        <f>C18+D18</f>
        <v>483864</v>
      </c>
      <c r="F18" s="86">
        <f>983784-F95</f>
        <v>983784</v>
      </c>
      <c r="G18" s="86">
        <f>F18</f>
        <v>983784</v>
      </c>
      <c r="H18" s="86">
        <f t="shared" si="5"/>
        <v>-499920</v>
      </c>
      <c r="J18" s="59"/>
    </row>
    <row r="19" spans="1:10" ht="10.5" customHeight="1" x14ac:dyDescent="0.25">
      <c r="A19" s="82"/>
      <c r="B19" s="81" t="s">
        <v>307</v>
      </c>
      <c r="C19" s="85">
        <v>122500</v>
      </c>
      <c r="D19" s="86">
        <f>510378-D96</f>
        <v>0</v>
      </c>
      <c r="E19" s="86">
        <f t="shared" ref="E19:E26" si="6">C19+D19</f>
        <v>122500</v>
      </c>
      <c r="F19" s="86">
        <f>7799359-F96</f>
        <v>166507</v>
      </c>
      <c r="G19" s="86">
        <f t="shared" ref="G19:G26" si="7">F19</f>
        <v>166507</v>
      </c>
      <c r="H19" s="86">
        <f t="shared" si="5"/>
        <v>-44007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f>0-D97</f>
        <v>0</v>
      </c>
      <c r="E20" s="86">
        <f t="shared" si="6"/>
        <v>0</v>
      </c>
      <c r="F20" s="86">
        <f>0-F97</f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66000</v>
      </c>
      <c r="D21" s="86">
        <f>3746800-D98</f>
        <v>0</v>
      </c>
      <c r="E21" s="86">
        <f t="shared" si="6"/>
        <v>66000</v>
      </c>
      <c r="F21" s="86">
        <f>7535950-F98</f>
        <v>42357</v>
      </c>
      <c r="G21" s="86">
        <f t="shared" si="7"/>
        <v>42357</v>
      </c>
      <c r="H21" s="86">
        <f t="shared" si="5"/>
        <v>23643</v>
      </c>
    </row>
    <row r="22" spans="1:10" ht="10.5" customHeight="1" x14ac:dyDescent="0.25">
      <c r="A22" s="82"/>
      <c r="B22" s="81" t="s">
        <v>310</v>
      </c>
      <c r="C22" s="85">
        <v>251000</v>
      </c>
      <c r="D22" s="86">
        <f>-109070-D99</f>
        <v>-109070</v>
      </c>
      <c r="E22" s="86">
        <f t="shared" si="6"/>
        <v>141930</v>
      </c>
      <c r="F22" s="86">
        <f>350334-F99</f>
        <v>350334</v>
      </c>
      <c r="G22" s="86">
        <f t="shared" si="7"/>
        <v>350334</v>
      </c>
      <c r="H22" s="86">
        <f t="shared" si="5"/>
        <v>-208404</v>
      </c>
      <c r="J22" s="59"/>
    </row>
    <row r="23" spans="1:10" ht="10.5" customHeight="1" x14ac:dyDescent="0.25">
      <c r="A23" s="82"/>
      <c r="B23" s="81" t="s">
        <v>311</v>
      </c>
      <c r="C23" s="85">
        <v>230460</v>
      </c>
      <c r="D23" s="86">
        <f>-112100-D100</f>
        <v>-112100</v>
      </c>
      <c r="E23" s="86">
        <f t="shared" si="6"/>
        <v>118360</v>
      </c>
      <c r="F23" s="86">
        <f>533094-F100</f>
        <v>533094</v>
      </c>
      <c r="G23" s="86">
        <f t="shared" si="7"/>
        <v>533094</v>
      </c>
      <c r="H23" s="86">
        <f t="shared" si="5"/>
        <v>-414734</v>
      </c>
      <c r="J23" s="59"/>
    </row>
    <row r="24" spans="1:10" ht="10.5" customHeight="1" x14ac:dyDescent="0.25">
      <c r="A24" s="82"/>
      <c r="B24" s="81" t="s">
        <v>312</v>
      </c>
      <c r="C24" s="85">
        <v>24000</v>
      </c>
      <c r="D24" s="86">
        <f>1136568-D101</f>
        <v>0</v>
      </c>
      <c r="E24" s="86">
        <f t="shared" si="6"/>
        <v>24000</v>
      </c>
      <c r="F24" s="86">
        <f>1363648-F101</f>
        <v>120380</v>
      </c>
      <c r="G24" s="86">
        <f>F24</f>
        <v>120380</v>
      </c>
      <c r="H24" s="86">
        <f t="shared" si="5"/>
        <v>-96380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f>0-D102</f>
        <v>0</v>
      </c>
      <c r="E25" s="86">
        <f t="shared" si="6"/>
        <v>0</v>
      </c>
      <c r="F25" s="86">
        <f>0-F102</f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42000</v>
      </c>
      <c r="D26" s="86">
        <f>11500-D103</f>
        <v>11500</v>
      </c>
      <c r="E26" s="86">
        <f t="shared" si="6"/>
        <v>53500</v>
      </c>
      <c r="F26" s="86">
        <f>31951-F103</f>
        <v>31951</v>
      </c>
      <c r="G26" s="86">
        <f t="shared" si="7"/>
        <v>31951</v>
      </c>
      <c r="H26" s="86">
        <f t="shared" si="5"/>
        <v>21549</v>
      </c>
    </row>
    <row r="27" spans="1:10" ht="10.5" customHeight="1" x14ac:dyDescent="0.25">
      <c r="A27" s="229" t="s">
        <v>315</v>
      </c>
      <c r="B27" s="230"/>
      <c r="C27" s="85">
        <f>SUM(C28:C36)</f>
        <v>25759119</v>
      </c>
      <c r="D27" s="85">
        <f>SUM(D28:D36)</f>
        <v>7348906</v>
      </c>
      <c r="E27" s="85">
        <f>SUM(E28:E36)</f>
        <v>33108025</v>
      </c>
      <c r="F27" s="85">
        <f>SUM(F28:F36)</f>
        <v>33383615</v>
      </c>
      <c r="G27" s="85">
        <f>SUM(G28:G36)</f>
        <v>33383615</v>
      </c>
      <c r="H27" s="86">
        <f t="shared" si="5"/>
        <v>-275590</v>
      </c>
    </row>
    <row r="28" spans="1:10" ht="10.5" customHeight="1" x14ac:dyDescent="0.25">
      <c r="A28" s="82"/>
      <c r="B28" s="81" t="s">
        <v>316</v>
      </c>
      <c r="C28" s="85">
        <v>673161</v>
      </c>
      <c r="D28" s="86">
        <f>672840-D105</f>
        <v>-287160</v>
      </c>
      <c r="E28" s="86">
        <f>C28+D28</f>
        <v>386001</v>
      </c>
      <c r="F28" s="86">
        <f>254153-F105</f>
        <v>254153</v>
      </c>
      <c r="G28" s="86">
        <f>F28</f>
        <v>254153</v>
      </c>
      <c r="H28" s="86">
        <f t="shared" si="5"/>
        <v>131848</v>
      </c>
    </row>
    <row r="29" spans="1:10" ht="10.5" customHeight="1" x14ac:dyDescent="0.25">
      <c r="A29" s="82"/>
      <c r="B29" s="81" t="s">
        <v>317</v>
      </c>
      <c r="C29" s="85">
        <v>300000</v>
      </c>
      <c r="D29" s="86">
        <f>36961700-D106</f>
        <v>750000</v>
      </c>
      <c r="E29" s="86">
        <f>C29+D29</f>
        <v>1050000</v>
      </c>
      <c r="F29" s="86">
        <f>37276251-F106</f>
        <v>1031302</v>
      </c>
      <c r="G29" s="86">
        <f>F29</f>
        <v>1031302</v>
      </c>
      <c r="H29" s="86">
        <f t="shared" si="5"/>
        <v>18698</v>
      </c>
    </row>
    <row r="30" spans="1:10" ht="10.5" customHeight="1" x14ac:dyDescent="0.25">
      <c r="A30" s="82"/>
      <c r="B30" s="81" t="s">
        <v>318</v>
      </c>
      <c r="C30" s="85">
        <v>2943856</v>
      </c>
      <c r="D30" s="86">
        <f>15002850-D107</f>
        <v>0</v>
      </c>
      <c r="E30" s="86">
        <f t="shared" ref="E30:E36" si="8">C30+D30</f>
        <v>2943856</v>
      </c>
      <c r="F30" s="86">
        <f>12620240-F107</f>
        <v>2305188</v>
      </c>
      <c r="G30" s="86">
        <f>F30</f>
        <v>2305188</v>
      </c>
      <c r="H30" s="86">
        <f t="shared" si="5"/>
        <v>638668</v>
      </c>
    </row>
    <row r="31" spans="1:10" ht="10.5" customHeight="1" x14ac:dyDescent="0.25">
      <c r="A31" s="82"/>
      <c r="B31" s="81" t="s">
        <v>319</v>
      </c>
      <c r="C31" s="85">
        <v>124000</v>
      </c>
      <c r="D31" s="86">
        <f>0-D108</f>
        <v>0</v>
      </c>
      <c r="E31" s="86">
        <f t="shared" si="8"/>
        <v>124000</v>
      </c>
      <c r="F31" s="86">
        <f>159894-F108</f>
        <v>159894</v>
      </c>
      <c r="G31" s="86">
        <f>F31</f>
        <v>159894</v>
      </c>
      <c r="H31" s="86">
        <f t="shared" si="5"/>
        <v>-35894</v>
      </c>
    </row>
    <row r="32" spans="1:10" ht="10.5" customHeight="1" x14ac:dyDescent="0.25">
      <c r="A32" s="82"/>
      <c r="B32" s="81" t="s">
        <v>320</v>
      </c>
      <c r="C32" s="85">
        <v>388878</v>
      </c>
      <c r="D32" s="86">
        <f>0-D109</f>
        <v>0</v>
      </c>
      <c r="E32" s="86">
        <f t="shared" si="8"/>
        <v>388878</v>
      </c>
      <c r="F32" s="86">
        <f>398306-F109</f>
        <v>398306</v>
      </c>
      <c r="G32" s="86">
        <f>F32</f>
        <v>398306</v>
      </c>
      <c r="H32" s="86">
        <f t="shared" si="5"/>
        <v>-9428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f>3162500-D110</f>
        <v>0</v>
      </c>
      <c r="E33" s="86">
        <f t="shared" si="8"/>
        <v>12000</v>
      </c>
      <c r="F33" s="86">
        <f>3161928-F110</f>
        <v>0</v>
      </c>
      <c r="G33" s="86"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86">
        <f>200000-D111</f>
        <v>0</v>
      </c>
      <c r="E34" s="86">
        <f t="shared" si="8"/>
        <v>233000</v>
      </c>
      <c r="F34" s="86">
        <f>365950-F111</f>
        <v>365950</v>
      </c>
      <c r="G34" s="86">
        <f>F34</f>
        <v>365950</v>
      </c>
      <c r="H34" s="86">
        <f t="shared" si="5"/>
        <v>-132950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f>23779725-D112</f>
        <v>3457925</v>
      </c>
      <c r="E35" s="86">
        <f t="shared" si="8"/>
        <v>3577925</v>
      </c>
      <c r="F35" s="86">
        <f>23552032-F112</f>
        <v>8451761</v>
      </c>
      <c r="G35" s="86">
        <f>F35</f>
        <v>8451761</v>
      </c>
      <c r="H35" s="86">
        <f t="shared" si="5"/>
        <v>-4873836</v>
      </c>
    </row>
    <row r="36" spans="1:8" ht="10.5" customHeight="1" x14ac:dyDescent="0.25">
      <c r="A36" s="82"/>
      <c r="B36" s="81" t="s">
        <v>324</v>
      </c>
      <c r="C36" s="85">
        <v>20964224</v>
      </c>
      <c r="D36" s="86">
        <f>3648813-D113</f>
        <v>3428141</v>
      </c>
      <c r="E36" s="86">
        <f t="shared" si="8"/>
        <v>24392365</v>
      </c>
      <c r="F36" s="86">
        <f>20417061-F113</f>
        <v>20417061</v>
      </c>
      <c r="G36" s="86">
        <f>F36</f>
        <v>20417061</v>
      </c>
      <c r="H36" s="86">
        <f t="shared" si="5"/>
        <v>3975304</v>
      </c>
    </row>
    <row r="37" spans="1:8" ht="16.5" customHeight="1" x14ac:dyDescent="0.25">
      <c r="A37" s="253" t="s">
        <v>325</v>
      </c>
      <c r="B37" s="254"/>
      <c r="C37" s="85">
        <f>SUM(C38:C46)</f>
        <v>10191813</v>
      </c>
      <c r="D37" s="85">
        <f>SUM(D38:D46)</f>
        <v>1688000</v>
      </c>
      <c r="E37" s="85">
        <f t="shared" ref="E37:G37" si="9">SUM(E38:E46)</f>
        <v>11879813</v>
      </c>
      <c r="F37" s="85">
        <f t="shared" si="9"/>
        <v>10785774</v>
      </c>
      <c r="G37" s="85">
        <f t="shared" si="9"/>
        <v>10785774</v>
      </c>
      <c r="H37" s="86">
        <f t="shared" si="5"/>
        <v>1094039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86">
        <f>1688000-D118</f>
        <v>1688000</v>
      </c>
      <c r="E41" s="86">
        <f>C41+D41</f>
        <v>11879813</v>
      </c>
      <c r="F41" s="86">
        <v>10785774</v>
      </c>
      <c r="G41" s="86">
        <f>F41</f>
        <v>10785774</v>
      </c>
      <c r="H41" s="86">
        <f t="shared" si="5"/>
        <v>1094039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29" t="s">
        <v>335</v>
      </c>
      <c r="B47" s="230"/>
      <c r="C47" s="85">
        <f>SUM(C48:C56)</f>
        <v>0</v>
      </c>
      <c r="D47" s="85">
        <f t="shared" ref="D47:G47" si="10">SUM(D48:D56)</f>
        <v>0</v>
      </c>
      <c r="E47" s="85">
        <f t="shared" si="10"/>
        <v>0</v>
      </c>
      <c r="F47" s="85">
        <f t="shared" si="10"/>
        <v>0</v>
      </c>
      <c r="G47" s="85">
        <f t="shared" si="10"/>
        <v>0</v>
      </c>
      <c r="H47" s="86">
        <f t="shared" si="5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2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29" t="s">
        <v>345</v>
      </c>
      <c r="B57" s="230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29" t="s">
        <v>349</v>
      </c>
      <c r="B61" s="230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29" t="s">
        <v>358</v>
      </c>
      <c r="B70" s="230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29" t="s">
        <v>362</v>
      </c>
      <c r="B74" s="230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31"/>
      <c r="B82" s="232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35"/>
      <c r="B84" s="236"/>
      <c r="C84" s="255">
        <f>C86+C94+C104+C114+C124+C134+C138+C147+C151</f>
        <v>0</v>
      </c>
      <c r="D84" s="255">
        <f>D86+D94+D104+D114+D124+D134+D138+D147+D151</f>
        <v>81473268</v>
      </c>
      <c r="E84" s="255">
        <f t="shared" ref="E84" si="17">E86+E94+E104+E114+E124+E134+E138+E147+E151</f>
        <v>81473268</v>
      </c>
      <c r="F84" s="255">
        <f t="shared" ref="F84:H84" si="18">F86+F94+F104+F114+F124+F134+F138+F147+F151</f>
        <v>81191913</v>
      </c>
      <c r="G84" s="255">
        <f t="shared" si="18"/>
        <v>81191913</v>
      </c>
      <c r="H84" s="255">
        <f t="shared" si="18"/>
        <v>281355</v>
      </c>
    </row>
    <row r="85" spans="1:8" ht="10.5" customHeight="1" x14ac:dyDescent="0.25">
      <c r="A85" s="233" t="s">
        <v>372</v>
      </c>
      <c r="B85" s="234"/>
      <c r="C85" s="256"/>
      <c r="D85" s="256"/>
      <c r="E85" s="256"/>
      <c r="F85" s="256"/>
      <c r="G85" s="256"/>
      <c r="H85" s="256"/>
    </row>
    <row r="86" spans="1:8" ht="10.5" customHeight="1" x14ac:dyDescent="0.25">
      <c r="A86" s="229" t="s">
        <v>297</v>
      </c>
      <c r="B86" s="230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29" t="s">
        <v>305</v>
      </c>
      <c r="B94" s="230"/>
      <c r="C94" s="85">
        <f>SUM(C95:C103)</f>
        <v>0</v>
      </c>
      <c r="D94" s="85">
        <f>D95+D96+D97+D98+D99+D100+D101+D102+D103</f>
        <v>5393746</v>
      </c>
      <c r="E94" s="85">
        <f t="shared" ref="E94" si="22">SUM(E95:E103)</f>
        <v>5393746</v>
      </c>
      <c r="F94" s="85">
        <f t="shared" ref="F94" si="23">SUM(F95:F103)</f>
        <v>16369713</v>
      </c>
      <c r="G94" s="85">
        <f t="shared" ref="G94" si="24">SUM(G95:G103)</f>
        <v>16369713</v>
      </c>
      <c r="H94" s="85">
        <f t="shared" ref="H94" si="25">SUM(H95:H103)</f>
        <v>-10975967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510378</v>
      </c>
      <c r="E96" s="86">
        <f t="shared" ref="E96:E103" si="26">C96+D96</f>
        <v>510378</v>
      </c>
      <c r="F96" s="86">
        <v>7632852</v>
      </c>
      <c r="G96" s="86">
        <f t="shared" ref="G96:G103" si="27">F96</f>
        <v>7632852</v>
      </c>
      <c r="H96" s="86">
        <f t="shared" ref="H96:H103" si="28">E96-F96</f>
        <v>-7122474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3746800</v>
      </c>
      <c r="E98" s="86">
        <f t="shared" si="26"/>
        <v>3746800</v>
      </c>
      <c r="F98" s="86">
        <v>7493593</v>
      </c>
      <c r="G98" s="86">
        <f t="shared" si="27"/>
        <v>7493593</v>
      </c>
      <c r="H98" s="86">
        <f t="shared" si="28"/>
        <v>-3746793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1136568</v>
      </c>
      <c r="E101" s="86">
        <f t="shared" si="26"/>
        <v>1136568</v>
      </c>
      <c r="F101" s="86">
        <v>1243268</v>
      </c>
      <c r="G101" s="86">
        <f>F101</f>
        <v>1243268</v>
      </c>
      <c r="H101" s="86">
        <f t="shared" si="28"/>
        <v>-106700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29" t="s">
        <v>315</v>
      </c>
      <c r="B104" s="230"/>
      <c r="C104" s="85">
        <f>SUM(C105:C113)</f>
        <v>0</v>
      </c>
      <c r="D104" s="85">
        <f>D105+D106+D107+D108+D109+D110+D111+D112+D113</f>
        <v>76079522</v>
      </c>
      <c r="E104" s="85">
        <f t="shared" ref="E104:G104" si="29">SUM(E105:E113)</f>
        <v>76079522</v>
      </c>
      <c r="F104" s="85">
        <f t="shared" si="29"/>
        <v>64822200</v>
      </c>
      <c r="G104" s="85">
        <f t="shared" si="29"/>
        <v>64822200</v>
      </c>
      <c r="H104" s="85">
        <f t="shared" ref="H104" si="30">SUM(H105:H113)</f>
        <v>11257322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960000</v>
      </c>
      <c r="E105" s="86">
        <f>C105+D105</f>
        <v>960000</v>
      </c>
      <c r="F105" s="86">
        <v>0</v>
      </c>
      <c r="G105" s="86">
        <f>F105</f>
        <v>0</v>
      </c>
      <c r="H105" s="86">
        <f>E105-F105</f>
        <v>960000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36211700</v>
      </c>
      <c r="E106" s="86">
        <f t="shared" ref="E106:E113" si="31">C106+D106</f>
        <v>36211700</v>
      </c>
      <c r="F106" s="86">
        <v>36244949</v>
      </c>
      <c r="G106" s="86">
        <f t="shared" ref="G106:G113" si="32">F106</f>
        <v>36244949</v>
      </c>
      <c r="H106" s="86">
        <f t="shared" ref="H106:H113" si="33">E106-F106</f>
        <v>-33249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15002850</v>
      </c>
      <c r="E107" s="86">
        <f t="shared" si="31"/>
        <v>15002850</v>
      </c>
      <c r="F107" s="86">
        <v>10315052</v>
      </c>
      <c r="G107" s="86">
        <f t="shared" si="32"/>
        <v>10315052</v>
      </c>
      <c r="H107" s="86">
        <f t="shared" si="33"/>
        <v>4687798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3162500</v>
      </c>
      <c r="E110" s="86">
        <f t="shared" si="31"/>
        <v>3162500</v>
      </c>
      <c r="F110" s="86">
        <v>3161928</v>
      </c>
      <c r="G110" s="86">
        <f t="shared" si="32"/>
        <v>3161928</v>
      </c>
      <c r="H110" s="86">
        <f t="shared" si="33"/>
        <v>572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200000</v>
      </c>
      <c r="E111" s="86">
        <f t="shared" si="31"/>
        <v>200000</v>
      </c>
      <c r="F111" s="86">
        <v>0</v>
      </c>
      <c r="G111" s="86">
        <f t="shared" si="32"/>
        <v>0</v>
      </c>
      <c r="H111" s="86">
        <f t="shared" si="33"/>
        <v>200000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20321800</v>
      </c>
      <c r="E112" s="86">
        <f t="shared" si="31"/>
        <v>20321800</v>
      </c>
      <c r="F112" s="86">
        <v>15100271</v>
      </c>
      <c r="G112" s="86">
        <f>F112</f>
        <v>15100271</v>
      </c>
      <c r="H112" s="86">
        <f t="shared" si="33"/>
        <v>5221529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220672</v>
      </c>
      <c r="E113" s="86">
        <f t="shared" si="31"/>
        <v>220672</v>
      </c>
      <c r="F113" s="86">
        <v>0</v>
      </c>
      <c r="G113" s="86">
        <f t="shared" si="32"/>
        <v>0</v>
      </c>
      <c r="H113" s="86">
        <f t="shared" si="33"/>
        <v>220672</v>
      </c>
    </row>
    <row r="114" spans="1:8" ht="19.5" customHeight="1" x14ac:dyDescent="0.25">
      <c r="A114" s="253" t="s">
        <v>325</v>
      </c>
      <c r="B114" s="254"/>
      <c r="C114" s="85">
        <f>SUM(C115:C123)</f>
        <v>0</v>
      </c>
      <c r="D114" s="85">
        <f t="shared" ref="D114:F114" si="34">SUM(D115:D123)</f>
        <v>0</v>
      </c>
      <c r="E114" s="85">
        <f t="shared" si="34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7">C116+D116</f>
        <v>0</v>
      </c>
      <c r="F116" s="86">
        <v>0</v>
      </c>
      <c r="G116" s="86">
        <v>0</v>
      </c>
      <c r="H116" s="86">
        <f t="shared" ref="H116:H158" si="38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7"/>
        <v>0</v>
      </c>
      <c r="F117" s="86">
        <v>0</v>
      </c>
      <c r="G117" s="86">
        <v>0</v>
      </c>
      <c r="H117" s="86">
        <f t="shared" si="38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8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7"/>
        <v>0</v>
      </c>
      <c r="F119" s="86">
        <v>0</v>
      </c>
      <c r="G119" s="86">
        <v>0</v>
      </c>
      <c r="H119" s="86">
        <f t="shared" si="38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7"/>
        <v>0</v>
      </c>
      <c r="F120" s="86">
        <v>0</v>
      </c>
      <c r="G120" s="86">
        <v>0</v>
      </c>
      <c r="H120" s="86">
        <f t="shared" si="38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7"/>
        <v>0</v>
      </c>
      <c r="F121" s="86">
        <v>0</v>
      </c>
      <c r="G121" s="86">
        <v>0</v>
      </c>
      <c r="H121" s="86">
        <f t="shared" si="38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7"/>
        <v>0</v>
      </c>
      <c r="F122" s="86">
        <v>0</v>
      </c>
      <c r="G122" s="86">
        <v>0</v>
      </c>
      <c r="H122" s="86">
        <f t="shared" si="38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7"/>
        <v>0</v>
      </c>
      <c r="F123" s="86">
        <v>0</v>
      </c>
      <c r="G123" s="86">
        <v>0</v>
      </c>
      <c r="H123" s="86">
        <f t="shared" si="38"/>
        <v>0</v>
      </c>
    </row>
    <row r="124" spans="1:8" ht="10.5" customHeight="1" x14ac:dyDescent="0.25">
      <c r="A124" s="229" t="s">
        <v>335</v>
      </c>
      <c r="B124" s="230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8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8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8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8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8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8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8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8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8"/>
        <v>0</v>
      </c>
    </row>
    <row r="134" spans="1:8" ht="10.5" customHeight="1" x14ac:dyDescent="0.25">
      <c r="A134" s="229" t="s">
        <v>345</v>
      </c>
      <c r="B134" s="230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8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8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8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8"/>
        <v>0</v>
      </c>
    </row>
    <row r="138" spans="1:8" ht="10.5" customHeight="1" x14ac:dyDescent="0.25">
      <c r="A138" s="229" t="s">
        <v>349</v>
      </c>
      <c r="B138" s="230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8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8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8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8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8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8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8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8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8"/>
        <v>0</v>
      </c>
    </row>
    <row r="147" spans="1:8" ht="10.5" customHeight="1" x14ac:dyDescent="0.25">
      <c r="A147" s="229" t="s">
        <v>358</v>
      </c>
      <c r="B147" s="230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8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8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8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8"/>
        <v>0</v>
      </c>
    </row>
    <row r="151" spans="1:8" ht="10.5" customHeight="1" x14ac:dyDescent="0.25">
      <c r="A151" s="229" t="s">
        <v>362</v>
      </c>
      <c r="B151" s="230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8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8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8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8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8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8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8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8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3" t="s">
        <v>373</v>
      </c>
      <c r="B160" s="234"/>
      <c r="C160" s="89">
        <f t="shared" ref="C160:H160" si="45">C8+C84</f>
        <v>52369118</v>
      </c>
      <c r="D160" s="89">
        <f t="shared" si="45"/>
        <v>90971504</v>
      </c>
      <c r="E160" s="89">
        <f t="shared" si="45"/>
        <v>143340622</v>
      </c>
      <c r="F160" s="89">
        <f>F8+F84</f>
        <v>143008300</v>
      </c>
      <c r="G160" s="89">
        <f>G8+G84</f>
        <v>143008300</v>
      </c>
      <c r="H160" s="89">
        <f t="shared" si="45"/>
        <v>332322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  <mergeCell ref="A17:B17"/>
    <mergeCell ref="A27:B27"/>
    <mergeCell ref="A37:B37"/>
    <mergeCell ref="A57:B57"/>
    <mergeCell ref="A61:B61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70:B70"/>
    <mergeCell ref="A74:B74"/>
    <mergeCell ref="A82:B82"/>
    <mergeCell ref="A124:B124"/>
    <mergeCell ref="A85:B85"/>
    <mergeCell ref="A84:B84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B33" sqref="B33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58" t="s">
        <v>120</v>
      </c>
      <c r="B1" s="259"/>
      <c r="C1" s="259"/>
      <c r="D1" s="259"/>
      <c r="E1" s="259"/>
      <c r="F1" s="259"/>
      <c r="G1" s="260"/>
    </row>
    <row r="2" spans="1:7" ht="12" customHeight="1" x14ac:dyDescent="0.25">
      <c r="A2" s="141" t="s">
        <v>290</v>
      </c>
      <c r="B2" s="142"/>
      <c r="C2" s="142"/>
      <c r="D2" s="142"/>
      <c r="E2" s="142"/>
      <c r="F2" s="142"/>
      <c r="G2" s="143"/>
    </row>
    <row r="3" spans="1:7" ht="12" customHeight="1" x14ac:dyDescent="0.25">
      <c r="A3" s="141" t="s">
        <v>374</v>
      </c>
      <c r="B3" s="142"/>
      <c r="C3" s="142"/>
      <c r="D3" s="142"/>
      <c r="E3" s="142"/>
      <c r="F3" s="142"/>
      <c r="G3" s="143"/>
    </row>
    <row r="4" spans="1:7" ht="12" customHeight="1" x14ac:dyDescent="0.25">
      <c r="A4" s="141" t="s">
        <v>455</v>
      </c>
      <c r="B4" s="142"/>
      <c r="C4" s="142"/>
      <c r="D4" s="142"/>
      <c r="E4" s="142"/>
      <c r="F4" s="142"/>
      <c r="G4" s="143"/>
    </row>
    <row r="5" spans="1:7" ht="12" customHeight="1" thickBot="1" x14ac:dyDescent="0.3">
      <c r="A5" s="144" t="s">
        <v>444</v>
      </c>
      <c r="B5" s="145"/>
      <c r="C5" s="145"/>
      <c r="D5" s="145"/>
      <c r="E5" s="145"/>
      <c r="F5" s="145"/>
      <c r="G5" s="146"/>
    </row>
    <row r="6" spans="1:7" ht="12" customHeight="1" thickBot="1" x14ac:dyDescent="0.3">
      <c r="A6" s="192" t="s">
        <v>2</v>
      </c>
      <c r="B6" s="179" t="s">
        <v>292</v>
      </c>
      <c r="C6" s="180"/>
      <c r="D6" s="180"/>
      <c r="E6" s="180"/>
      <c r="F6" s="181"/>
      <c r="G6" s="192" t="s">
        <v>293</v>
      </c>
    </row>
    <row r="7" spans="1:7" ht="21.75" customHeight="1" thickBot="1" x14ac:dyDescent="0.3">
      <c r="A7" s="193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193"/>
    </row>
    <row r="8" spans="1:7" ht="12" customHeight="1" x14ac:dyDescent="0.25">
      <c r="A8" s="31" t="s">
        <v>375</v>
      </c>
      <c r="B8" s="261">
        <f>B10</f>
        <v>52369118</v>
      </c>
      <c r="C8" s="261">
        <f t="shared" ref="C8:G8" si="0">C10</f>
        <v>9498235</v>
      </c>
      <c r="D8" s="261">
        <f t="shared" si="0"/>
        <v>61867353</v>
      </c>
      <c r="E8" s="261">
        <f t="shared" si="0"/>
        <v>61816387</v>
      </c>
      <c r="F8" s="261">
        <f t="shared" si="0"/>
        <v>61816387</v>
      </c>
      <c r="G8" s="261">
        <f t="shared" si="0"/>
        <v>50966</v>
      </c>
    </row>
    <row r="9" spans="1:7" ht="12" customHeight="1" x14ac:dyDescent="0.25">
      <c r="A9" s="31" t="s">
        <v>376</v>
      </c>
      <c r="B9" s="257"/>
      <c r="C9" s="257"/>
      <c r="D9" s="257"/>
      <c r="E9" s="257"/>
      <c r="F9" s="257"/>
      <c r="G9" s="257"/>
    </row>
    <row r="10" spans="1:7" ht="12" customHeight="1" x14ac:dyDescent="0.25">
      <c r="A10" s="92" t="s">
        <v>443</v>
      </c>
      <c r="B10" s="103">
        <f>'FORMATO 4'!E15</f>
        <v>52369118</v>
      </c>
      <c r="C10" s="103">
        <f>'FORMATO 5'!$F$43</f>
        <v>9498235</v>
      </c>
      <c r="D10" s="103">
        <f>B10+C10</f>
        <v>61867353</v>
      </c>
      <c r="E10" s="103">
        <f>'FORMATO 4'!$G$15</f>
        <v>61816387</v>
      </c>
      <c r="F10" s="103">
        <f>E10</f>
        <v>61816387</v>
      </c>
      <c r="G10" s="103">
        <f>D10-E10</f>
        <v>50966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57">
        <f>B21</f>
        <v>0</v>
      </c>
      <c r="C19" s="257">
        <f t="shared" ref="C19:G19" si="1">C21</f>
        <v>81473269</v>
      </c>
      <c r="D19" s="257">
        <f t="shared" si="1"/>
        <v>81473269</v>
      </c>
      <c r="E19" s="257">
        <f t="shared" si="1"/>
        <v>81191913</v>
      </c>
      <c r="F19" s="257">
        <f t="shared" si="1"/>
        <v>81191913</v>
      </c>
      <c r="G19" s="257">
        <f t="shared" si="1"/>
        <v>281356</v>
      </c>
    </row>
    <row r="20" spans="1:7" ht="12" customHeight="1" x14ac:dyDescent="0.25">
      <c r="A20" s="33" t="s">
        <v>378</v>
      </c>
      <c r="B20" s="257"/>
      <c r="C20" s="257"/>
      <c r="D20" s="257"/>
      <c r="E20" s="257"/>
      <c r="F20" s="257"/>
      <c r="G20" s="257"/>
    </row>
    <row r="21" spans="1:7" ht="12" customHeight="1" x14ac:dyDescent="0.25">
      <c r="A21" s="92" t="s">
        <v>443</v>
      </c>
      <c r="B21" s="98">
        <v>0</v>
      </c>
      <c r="C21" s="98">
        <v>81473269</v>
      </c>
      <c r="D21" s="103">
        <f>B21+C21</f>
        <v>81473269</v>
      </c>
      <c r="E21" s="98">
        <f>'FORMATO 4'!$F$16</f>
        <v>81191913</v>
      </c>
      <c r="F21" s="98">
        <f>E21</f>
        <v>81191913</v>
      </c>
      <c r="G21" s="103">
        <f>D21-E21</f>
        <v>281356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52369118</v>
      </c>
      <c r="C30" s="98">
        <f t="shared" ref="C30:G30" si="2">C8+C19</f>
        <v>90971504</v>
      </c>
      <c r="D30" s="98">
        <f t="shared" si="2"/>
        <v>143340622</v>
      </c>
      <c r="E30" s="98">
        <f t="shared" si="2"/>
        <v>143008300</v>
      </c>
      <c r="F30" s="98">
        <f t="shared" si="2"/>
        <v>143008300</v>
      </c>
      <c r="G30" s="98">
        <f t="shared" si="2"/>
        <v>332322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B86" sqref="B86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38" t="s">
        <v>120</v>
      </c>
      <c r="B1" s="139"/>
      <c r="C1" s="139"/>
      <c r="D1" s="139"/>
      <c r="E1" s="139"/>
      <c r="F1" s="139"/>
      <c r="G1" s="139"/>
      <c r="H1" s="267"/>
    </row>
    <row r="2" spans="1:8" ht="9" customHeight="1" x14ac:dyDescent="0.25">
      <c r="A2" s="200" t="s">
        <v>290</v>
      </c>
      <c r="B2" s="201"/>
      <c r="C2" s="201"/>
      <c r="D2" s="201"/>
      <c r="E2" s="201"/>
      <c r="F2" s="201"/>
      <c r="G2" s="201"/>
      <c r="H2" s="268"/>
    </row>
    <row r="3" spans="1:8" ht="9" customHeight="1" x14ac:dyDescent="0.25">
      <c r="A3" s="200" t="s">
        <v>379</v>
      </c>
      <c r="B3" s="201"/>
      <c r="C3" s="201"/>
      <c r="D3" s="201"/>
      <c r="E3" s="201"/>
      <c r="F3" s="201"/>
      <c r="G3" s="201"/>
      <c r="H3" s="268"/>
    </row>
    <row r="4" spans="1:8" ht="9" customHeight="1" x14ac:dyDescent="0.25">
      <c r="A4" s="200" t="s">
        <v>455</v>
      </c>
      <c r="B4" s="201"/>
      <c r="C4" s="201"/>
      <c r="D4" s="201"/>
      <c r="E4" s="201"/>
      <c r="F4" s="201"/>
      <c r="G4" s="201"/>
      <c r="H4" s="268"/>
    </row>
    <row r="5" spans="1:8" ht="9" customHeight="1" thickBot="1" x14ac:dyDescent="0.3">
      <c r="A5" s="203" t="s">
        <v>1</v>
      </c>
      <c r="B5" s="204"/>
      <c r="C5" s="204"/>
      <c r="D5" s="204"/>
      <c r="E5" s="204"/>
      <c r="F5" s="204"/>
      <c r="G5" s="204"/>
      <c r="H5" s="269"/>
    </row>
    <row r="6" spans="1:8" ht="9" customHeight="1" thickBot="1" x14ac:dyDescent="0.3">
      <c r="A6" s="138" t="s">
        <v>2</v>
      </c>
      <c r="B6" s="140"/>
      <c r="C6" s="179" t="s">
        <v>292</v>
      </c>
      <c r="D6" s="180"/>
      <c r="E6" s="180"/>
      <c r="F6" s="180"/>
      <c r="G6" s="181"/>
      <c r="H6" s="192" t="s">
        <v>293</v>
      </c>
    </row>
    <row r="7" spans="1:8" ht="20.25" customHeight="1" thickBot="1" x14ac:dyDescent="0.3">
      <c r="A7" s="203"/>
      <c r="B7" s="205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193"/>
    </row>
    <row r="8" spans="1:8" ht="9" customHeight="1" x14ac:dyDescent="0.25">
      <c r="A8" s="262"/>
      <c r="B8" s="263"/>
      <c r="C8" s="91"/>
      <c r="D8" s="91"/>
      <c r="E8" s="91"/>
      <c r="F8" s="91"/>
      <c r="G8" s="91"/>
      <c r="H8" s="91"/>
    </row>
    <row r="9" spans="1:8" ht="9" customHeight="1" x14ac:dyDescent="0.25">
      <c r="A9" s="264" t="s">
        <v>380</v>
      </c>
      <c r="B9" s="265"/>
      <c r="C9" s="98">
        <f>C10+C20+C29+C40</f>
        <v>52369118</v>
      </c>
      <c r="D9" s="98">
        <f t="shared" ref="D9:H9" si="0">D10+D20+D29+D40</f>
        <v>9498235</v>
      </c>
      <c r="E9" s="98">
        <f t="shared" si="0"/>
        <v>61867353</v>
      </c>
      <c r="F9" s="98">
        <f t="shared" si="0"/>
        <v>61816387</v>
      </c>
      <c r="G9" s="98">
        <f t="shared" si="0"/>
        <v>61816387</v>
      </c>
      <c r="H9" s="98">
        <f t="shared" si="0"/>
        <v>50966</v>
      </c>
    </row>
    <row r="10" spans="1:8" ht="9" customHeight="1" x14ac:dyDescent="0.25">
      <c r="A10" s="215" t="s">
        <v>381</v>
      </c>
      <c r="B10" s="217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5" t="s">
        <v>390</v>
      </c>
      <c r="B20" s="217"/>
      <c r="C20" s="76">
        <f>SUM(C21:C27)</f>
        <v>52369118</v>
      </c>
      <c r="D20" s="76">
        <f t="shared" ref="D20:G20" si="3">SUM(D21:D27)</f>
        <v>9498235</v>
      </c>
      <c r="E20" s="76">
        <f t="shared" si="3"/>
        <v>61867353</v>
      </c>
      <c r="F20" s="76">
        <f t="shared" si="3"/>
        <v>61816387</v>
      </c>
      <c r="G20" s="76">
        <f t="shared" si="3"/>
        <v>61816387</v>
      </c>
      <c r="H20" s="76">
        <f t="shared" si="2"/>
        <v>50966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52369118</v>
      </c>
      <c r="D25" s="103">
        <f>'FORMATO 6B'!C10</f>
        <v>9498235</v>
      </c>
      <c r="E25" s="76">
        <f t="shared" si="4"/>
        <v>61867353</v>
      </c>
      <c r="F25" s="103">
        <f>'FORMATO 6B'!E10</f>
        <v>61816387</v>
      </c>
      <c r="G25" s="103">
        <f>'FORMATO 6B'!F10</f>
        <v>61816387</v>
      </c>
      <c r="H25" s="76">
        <f t="shared" si="2"/>
        <v>50966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5" t="s">
        <v>398</v>
      </c>
      <c r="B29" s="217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4" t="s">
        <v>408</v>
      </c>
      <c r="B40" s="26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5" t="s">
        <v>413</v>
      </c>
      <c r="B46" s="217"/>
      <c r="C46" s="76">
        <f>C47+C57+C66+C77</f>
        <v>0</v>
      </c>
      <c r="D46" s="76">
        <f t="shared" ref="D46:H46" si="7">D47+D57+D66+D77</f>
        <v>81473269</v>
      </c>
      <c r="E46" s="76">
        <f t="shared" si="7"/>
        <v>81473269</v>
      </c>
      <c r="F46" s="76">
        <f t="shared" si="7"/>
        <v>81191913</v>
      </c>
      <c r="G46" s="76">
        <f t="shared" si="7"/>
        <v>81191913</v>
      </c>
      <c r="H46" s="76">
        <f t="shared" si="7"/>
        <v>281356</v>
      </c>
    </row>
    <row r="47" spans="1:8" ht="9" customHeight="1" x14ac:dyDescent="0.25">
      <c r="A47" s="215" t="s">
        <v>381</v>
      </c>
      <c r="B47" s="217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5" t="s">
        <v>390</v>
      </c>
      <c r="B57" s="217"/>
      <c r="C57" s="76">
        <f>SUM(C58:C64)</f>
        <v>0</v>
      </c>
      <c r="D57" s="76">
        <f t="shared" ref="D57:H57" si="9">SUM(D58:D64)</f>
        <v>81473269</v>
      </c>
      <c r="E57" s="76">
        <f t="shared" si="9"/>
        <v>81473269</v>
      </c>
      <c r="F57" s="76">
        <f t="shared" si="9"/>
        <v>81191913</v>
      </c>
      <c r="G57" s="76">
        <f t="shared" si="9"/>
        <v>81191913</v>
      </c>
      <c r="H57" s="76">
        <f t="shared" si="9"/>
        <v>281356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81473269</v>
      </c>
      <c r="E61" s="76">
        <f>D61</f>
        <v>81473269</v>
      </c>
      <c r="F61" s="76">
        <f>'FORMATO 6B'!E21</f>
        <v>81191913</v>
      </c>
      <c r="G61" s="76">
        <f>'FORMATO 6B'!F21</f>
        <v>81191913</v>
      </c>
      <c r="H61" s="76">
        <f t="shared" si="10"/>
        <v>281356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5" t="s">
        <v>398</v>
      </c>
      <c r="B66" s="217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5" t="s">
        <v>408</v>
      </c>
      <c r="B77" s="217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5" t="s">
        <v>373</v>
      </c>
      <c r="B83" s="217"/>
      <c r="C83" s="76">
        <f>C9+C46</f>
        <v>52369118</v>
      </c>
      <c r="D83" s="76">
        <f t="shared" ref="D83:H83" si="14">D9+D46</f>
        <v>90971504</v>
      </c>
      <c r="E83" s="76">
        <f t="shared" si="14"/>
        <v>143340622</v>
      </c>
      <c r="F83" s="76">
        <f t="shared" si="14"/>
        <v>143008300</v>
      </c>
      <c r="G83" s="76">
        <f t="shared" si="14"/>
        <v>143008300</v>
      </c>
      <c r="H83" s="76">
        <f t="shared" si="14"/>
        <v>332322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H6:H7"/>
    <mergeCell ref="A1:H1"/>
    <mergeCell ref="A2:H2"/>
    <mergeCell ref="A3:H3"/>
    <mergeCell ref="A4:H4"/>
    <mergeCell ref="A5:H5"/>
    <mergeCell ref="A6:B7"/>
    <mergeCell ref="C6:G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B20" sqref="B20"/>
    </sheetView>
  </sheetViews>
  <sheetFormatPr baseColWidth="10" defaultColWidth="11.42578125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x14ac:dyDescent="0.25">
      <c r="A2" s="275" t="s">
        <v>290</v>
      </c>
      <c r="B2" s="276"/>
      <c r="C2" s="276"/>
      <c r="D2" s="276"/>
      <c r="E2" s="276"/>
      <c r="F2" s="276"/>
      <c r="G2" s="277"/>
    </row>
    <row r="3" spans="1:7" x14ac:dyDescent="0.25">
      <c r="A3" s="275" t="s">
        <v>414</v>
      </c>
      <c r="B3" s="276"/>
      <c r="C3" s="276"/>
      <c r="D3" s="276"/>
      <c r="E3" s="276"/>
      <c r="F3" s="276"/>
      <c r="G3" s="277"/>
    </row>
    <row r="4" spans="1:7" x14ac:dyDescent="0.25">
      <c r="A4" s="200" t="s">
        <v>455</v>
      </c>
      <c r="B4" s="276"/>
      <c r="C4" s="276"/>
      <c r="D4" s="276"/>
      <c r="E4" s="276"/>
      <c r="F4" s="276"/>
      <c r="G4" s="277"/>
    </row>
    <row r="5" spans="1:7" ht="15.75" thickBot="1" x14ac:dyDescent="0.3">
      <c r="A5" s="278" t="s">
        <v>1</v>
      </c>
      <c r="B5" s="279"/>
      <c r="C5" s="279"/>
      <c r="D5" s="279"/>
      <c r="E5" s="279"/>
      <c r="F5" s="279"/>
      <c r="G5" s="280"/>
    </row>
    <row r="6" spans="1:7" ht="15.75" thickBot="1" x14ac:dyDescent="0.3">
      <c r="A6" s="281" t="s">
        <v>2</v>
      </c>
      <c r="B6" s="283" t="s">
        <v>292</v>
      </c>
      <c r="C6" s="284"/>
      <c r="D6" s="284"/>
      <c r="E6" s="284"/>
      <c r="F6" s="285"/>
      <c r="G6" s="270" t="s">
        <v>293</v>
      </c>
    </row>
    <row r="7" spans="1:7" ht="20.25" customHeight="1" thickBot="1" x14ac:dyDescent="0.3">
      <c r="A7" s="282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1"/>
    </row>
    <row r="8" spans="1:7" x14ac:dyDescent="0.25">
      <c r="A8" s="124" t="s">
        <v>416</v>
      </c>
      <c r="B8" s="125">
        <f>B9+B10+B11+B14++B18</f>
        <v>15069362</v>
      </c>
      <c r="C8" s="125">
        <f t="shared" ref="C8:G8" si="0">C9+C10+C11+C14++C18</f>
        <v>800000</v>
      </c>
      <c r="D8" s="125">
        <f t="shared" si="0"/>
        <v>15869362</v>
      </c>
      <c r="E8" s="125">
        <f t="shared" si="0"/>
        <v>10710012</v>
      </c>
      <c r="F8" s="125">
        <f>F9</f>
        <v>10710012</v>
      </c>
      <c r="G8" s="125">
        <f t="shared" si="0"/>
        <v>5159350</v>
      </c>
    </row>
    <row r="9" spans="1:7" x14ac:dyDescent="0.25">
      <c r="A9" s="126" t="s">
        <v>417</v>
      </c>
      <c r="B9" s="127">
        <v>15069362</v>
      </c>
      <c r="C9" s="128">
        <v>800000</v>
      </c>
      <c r="D9" s="128">
        <f>B9+C9</f>
        <v>15869362</v>
      </c>
      <c r="E9" s="128">
        <v>10710012</v>
      </c>
      <c r="F9" s="128">
        <f>E9</f>
        <v>10710012</v>
      </c>
      <c r="G9" s="128">
        <f>D9-E9</f>
        <v>5159350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447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15069362</v>
      </c>
      <c r="C31" s="125">
        <f t="shared" ref="C31:G31" si="2">C8+C20</f>
        <v>800000</v>
      </c>
      <c r="D31" s="125">
        <f t="shared" si="2"/>
        <v>15869362</v>
      </c>
      <c r="E31" s="125">
        <f t="shared" si="2"/>
        <v>10710012</v>
      </c>
      <c r="F31" s="125">
        <f t="shared" si="2"/>
        <v>10710012</v>
      </c>
      <c r="G31" s="125">
        <f t="shared" si="2"/>
        <v>5159350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2023-10-09T23:19:59Z</cp:lastPrinted>
  <dcterms:created xsi:type="dcterms:W3CDTF">2016-11-30T20:12:49Z</dcterms:created>
  <dcterms:modified xsi:type="dcterms:W3CDTF">2024-01-24T22:31:17Z</dcterms:modified>
</cp:coreProperties>
</file>